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omments2.xml" ContentType="application/vnd.openxmlformats-officedocument.spreadsheetml.comments+xml"/>
  <Override PartName="/xl/drawings/drawing2.xml" ContentType="application/vnd.openxmlformats-officedocument.drawing+xml"/>
  <Override PartName="/xl/ctrlProps/ctrlProp4.xml" ContentType="application/vnd.ms-excel.controlproperties+xml"/>
  <Override PartName="/xl/drawings/drawing3.xml" ContentType="application/vnd.openxmlformats-officedocument.drawing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embeddings/oleObject1.bin" ContentType="application/vnd.openxmlformats-officedocument.oleObject"/>
  <Override PartName="/xl/embeddings/oleObject2.bin" ContentType="application/vnd.openxmlformats-officedocument.oleObject"/>
  <Override PartName="/xl/drawings/drawing5.xml" ContentType="application/vnd.openxmlformats-officedocument.drawing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D:\My Documents\TROX site\"/>
    </mc:Choice>
  </mc:AlternateContent>
  <bookViews>
    <workbookView xWindow="540" yWindow="-105" windowWidth="13275" windowHeight="7725" tabRatio="648"/>
  </bookViews>
  <sheets>
    <sheet name="РПВ" sheetId="1" r:id="rId1"/>
    <sheet name="За печат" sheetId="23" state="hidden" r:id="rId2"/>
    <sheet name="Фиш" sheetId="6" r:id="rId3"/>
    <sheet name="Рекапитулация" sheetId="5" r:id="rId4"/>
    <sheet name="Справка" sheetId="22" r:id="rId5"/>
    <sheet name="Д6" sheetId="15" r:id="rId6"/>
    <sheet name="Инфо" sheetId="10" state="hidden" r:id="rId7"/>
    <sheet name="Декл6" sheetId="14" state="hidden" r:id="rId8"/>
    <sheet name="Протокол" sheetId="20" r:id="rId9"/>
    <sheet name="Отпуск" sheetId="2" r:id="rId10"/>
    <sheet name="Систем" sheetId="7" r:id="rId11"/>
    <sheet name="Платежни" sheetId="21" r:id="rId12"/>
  </sheets>
  <functionGroups builtInGroupCount="18"/>
  <externalReferences>
    <externalReference r:id="rId13"/>
  </externalReferences>
  <definedNames>
    <definedName name="_kol11">Д6!$E$11:$F$23</definedName>
    <definedName name="_kol22">Д6!$H$11:$I$23</definedName>
    <definedName name="_kol33">Д6!$K$11:$L$23</definedName>
    <definedName name="_kol44">Д6!$N$11:$O$23</definedName>
    <definedName name="allcopy">РПВ!$B$8:$I$10</definedName>
    <definedName name="avpla">РПВ!$AO$11</definedName>
    <definedName name="banka">Инфо!$C$20</definedName>
    <definedName name="bankaadres">Инфо!$C$23</definedName>
    <definedName name="bankaklon">Инфо!$C$22</definedName>
    <definedName name="bankanap">Инфо!$C$25</definedName>
    <definedName name="bankiall">РПВ!$AY$8:$BA$10</definedName>
    <definedName name="bansme">РПВ!$AY$8:$AY$10</definedName>
    <definedName name="bicbanka">Инфо!$C$21</definedName>
    <definedName name="bicbankanap">Инфо!$C$26</definedName>
    <definedName name="bulstata">РПВ!$E$16</definedName>
    <definedName name="d6ssini">Декл6!$BC$19,Декл6!$AM$13:$AS$14,Декл6!$AD$13:$AJ$14,Декл6!$U$13:$AA$14,Декл6!$A$13:$R$14,Декл6!$A$49:$R$50,Декл6!$U$49:$AA$50,Декл6!$AD$49:$AJ$50,Декл6!$AM$49:$AS$50</definedName>
    <definedName name="d6tsini">Декл6!$A$11:$K$12,Декл6!$Q$11:$T$12,Декл6!$Z$11:$AC$12,Декл6!$AI$11:$AL$12,Декл6!$AR$11:$AU$12,Декл6!$S$13,Декл6!$AB$13,Декл6!$AK$13,Декл6!$AT$13,Декл6!$A$33:$AU$35,Декл6!$A$47:$K$48,Декл6!$Q$47:$T$48,Декл6!$Z$47:$AC$48,Декл6!$AI$47:$AL$48,Декл6!$AR$47:$AU$48,Декл6!$AT$49,Декл6!$AK$49,Декл6!$AB$49,Декл6!$S$49,Декл6!$A$69:$AU$71</definedName>
    <definedName name="danni_fishove">РПВ!$A$8:$E$10</definedName>
    <definedName name="danyk1d6">Инфо!$C$18</definedName>
    <definedName name="danykd6">Инфо!$C$17</definedName>
    <definedName name="dlajnost">РПВ!$E$8:$E$10</definedName>
    <definedName name="dod">Систем!$E$25</definedName>
    <definedName name="dodminus">РПВ!$AH$11</definedName>
    <definedName name="dodplus">РПВ!$AI$11</definedName>
    <definedName name="dood6">Инфо!$C$11</definedName>
    <definedName name="dos">[1]danni!$C$3</definedName>
    <definedName name="dosput">[1]danni!$C$1</definedName>
    <definedName name="drneobl">РПВ!$Y$11</definedName>
    <definedName name="dzpoppfd6">Инфо!$C$14</definedName>
    <definedName name="dzpoupfd6">Инфо!$C$13</definedName>
    <definedName name="egn_check">Систем!$K$34</definedName>
    <definedName name="egns">РПВ!$FD$8:$FD$10</definedName>
    <definedName name="ExternalData_1" localSheetId="10">Систем!$R$16:$R$17</definedName>
    <definedName name="ExternalData_2" localSheetId="10">Систем!$S$16:$S$17</definedName>
    <definedName name="firma">РПВ!$L$2</definedName>
    <definedName name="godini">Инфо!$G$2:$G$12</definedName>
    <definedName name="gvrsd6">Инфо!$C$16</definedName>
    <definedName name="ibanfirma">РПВ!$AY$15</definedName>
    <definedName name="kodkor">Инфо!$E$2:$E$3</definedName>
    <definedName name="kodok">Инфо!$H$2:$H$3</definedName>
    <definedName name="krai">РПВ!$AY$16</definedName>
    <definedName name="maxod">Систем!$D$12</definedName>
    <definedName name="menu_ap">Систем!$K$26</definedName>
    <definedName name="menu_dnp">Систем!$K$28</definedName>
    <definedName name="menu_osnnam">Систем!$K$31</definedName>
    <definedName name="menu_osnuve">Систем!$K$32</definedName>
    <definedName name="menu_poslkol">Систем!$K$33</definedName>
    <definedName name="menu_rgo">Систем!$K$27</definedName>
    <definedName name="menu_sr">Систем!$K$25</definedName>
    <definedName name="meseci">РПВ!$IQ$18:$IQ$29</definedName>
    <definedName name="meseci0112">Инфо!$N$2:$N$13</definedName>
    <definedName name="mesecid6">Инфо!$N$1:$N$14</definedName>
    <definedName name="mod">РПВ!$H$8:$H$10</definedName>
    <definedName name="multiprint">Фиш!$Q$1</definedName>
    <definedName name="names">РПВ!$B$8:$B$10</definedName>
    <definedName name="nkid">РПВ!$E$15</definedName>
    <definedName name="nov">РПВ!$10:$10</definedName>
    <definedName name="nova">РПВ!$A$10</definedName>
    <definedName name="nova1">РПВ!$E$10</definedName>
    <definedName name="ofisnap">Инфо!$D$24</definedName>
    <definedName name="orz">РПВ!$I$8:$I$10</definedName>
    <definedName name="pari">РПВ!$AX$8:$AX$11</definedName>
    <definedName name="prevod">РПВ!$AX$8:$AX$10</definedName>
    <definedName name="print">РПВ!$AB$13</definedName>
    <definedName name="_xlnm.Print_Area" localSheetId="7">Декл6!$A$1:$AV$71</definedName>
    <definedName name="_xlnm.Print_Area" localSheetId="3">Рекапитулация!$A$1:$E$78</definedName>
    <definedName name="_xlnm.Print_Area" localSheetId="0">РПВ!$A$1:$AS$16</definedName>
    <definedName name="_xlnm.Print_Area" localSheetId="2">Фиш!$B$2:$H$39</definedName>
    <definedName name="_xlnm.Print_Titles" localSheetId="0">РПВ!$A:$A,РПВ!$2:$2</definedName>
    <definedName name="protokoldanni">Протокол!$A$5:$K$32</definedName>
    <definedName name="rabdni">РПВ!$AG$2</definedName>
    <definedName name="redgodotp">РПВ!$O$11</definedName>
    <definedName name="rows">РПВ!$8:$11</definedName>
    <definedName name="smetkadoo">Инфо!$C$28</definedName>
    <definedName name="smetkadzpo">Инфо!$C$30</definedName>
    <definedName name="smetkard">Инфо!$C$27</definedName>
    <definedName name="smetkazdr">Инфо!$C$29</definedName>
    <definedName name="socraz">РПВ!$P$11</definedName>
    <definedName name="staj">РПВ!$G$8:$G$10</definedName>
    <definedName name="sumivedomost">Инфо!$C$11:$C$18</definedName>
    <definedName name="teku6tmesec">РПВ!$AL$2</definedName>
    <definedName name="text">РПВ!$AY$14</definedName>
    <definedName name="treti">РПВ!$17:$17</definedName>
    <definedName name="u4pfd6">Инфо!$C$12</definedName>
    <definedName name="valior">РПВ!$AY$13</definedName>
    <definedName name="ver">РПВ!$B$2</definedName>
    <definedName name="vers">Систем!$Q$16</definedName>
    <definedName name="vidosig">РПВ!$C$8:$C$10</definedName>
    <definedName name="vidpld6">Инфо!$I$2:$I$10</definedName>
    <definedName name="years">РПВ!$D$8:$D$10</definedName>
    <definedName name="zod6">Инфо!$C$15</definedName>
  </definedNames>
  <calcPr calcId="152511"/>
</workbook>
</file>

<file path=xl/calcChain.xml><?xml version="1.0" encoding="utf-8"?>
<calcChain xmlns="http://schemas.openxmlformats.org/spreadsheetml/2006/main">
  <c r="AC7" i="1" l="1"/>
  <c r="P7" i="1"/>
  <c r="AO2" i="1"/>
  <c r="AQ7" i="1"/>
  <c r="AP7" i="1"/>
  <c r="AO7" i="1"/>
  <c r="O7" i="1"/>
  <c r="N7" i="1"/>
  <c r="AH7" i="1"/>
  <c r="AI7" i="1" s="1"/>
  <c r="R17" i="1" l="1"/>
  <c r="L17" i="1"/>
  <c r="L9" i="1"/>
  <c r="L8" i="1"/>
  <c r="R9" i="1"/>
  <c r="R8" i="1"/>
  <c r="C31" i="23" l="1"/>
  <c r="B30" i="23"/>
  <c r="H43" i="23" s="1"/>
  <c r="H28" i="23"/>
  <c r="D28" i="23"/>
  <c r="J27" i="23"/>
  <c r="D26" i="23"/>
  <c r="J24" i="23"/>
  <c r="D24" i="23"/>
  <c r="J22" i="23"/>
  <c r="D21" i="23"/>
  <c r="D19" i="23"/>
  <c r="J18" i="23"/>
  <c r="J17" i="23"/>
  <c r="C17" i="23"/>
  <c r="B16" i="23"/>
  <c r="H29" i="23" s="1"/>
  <c r="C33" i="23" l="1"/>
  <c r="A30" i="23"/>
  <c r="G30" i="23"/>
  <c r="I30" i="23"/>
  <c r="H30" i="23" s="1"/>
  <c r="C41" i="23"/>
  <c r="C39" i="23"/>
  <c r="E43" i="23"/>
  <c r="C19" i="23"/>
  <c r="A16" i="23"/>
  <c r="G16" i="23"/>
  <c r="C32" i="23"/>
  <c r="C34" i="23"/>
  <c r="C38" i="23"/>
  <c r="C40" i="23"/>
  <c r="B43" i="23"/>
  <c r="I16" i="23"/>
  <c r="H16" i="23" s="1"/>
  <c r="C27" i="23"/>
  <c r="C25" i="23"/>
  <c r="E29" i="23"/>
  <c r="C18" i="23"/>
  <c r="C20" i="23"/>
  <c r="C24" i="23"/>
  <c r="C26" i="23"/>
  <c r="B29" i="23"/>
  <c r="P25" i="15"/>
  <c r="C3" i="23" l="1"/>
  <c r="B2" i="23" l="1"/>
  <c r="I2" i="23" l="1"/>
  <c r="H2" i="23" s="1"/>
  <c r="H15" i="23"/>
  <c r="G2" i="23"/>
  <c r="B15" i="23"/>
  <c r="E15" i="23"/>
  <c r="C13" i="23"/>
  <c r="A2" i="23"/>
  <c r="C11" i="23"/>
  <c r="C12" i="23"/>
  <c r="C6" i="23"/>
  <c r="C10" i="23"/>
  <c r="C4" i="23"/>
  <c r="C5" i="23"/>
  <c r="J10" i="23"/>
  <c r="J8" i="23"/>
  <c r="J4" i="23"/>
  <c r="J3" i="23"/>
  <c r="H14" i="23"/>
  <c r="D14" i="23"/>
  <c r="D12" i="23"/>
  <c r="D10" i="23"/>
  <c r="D7" i="23"/>
  <c r="D5" i="23"/>
  <c r="B44" i="1" l="1"/>
  <c r="D6" i="15"/>
  <c r="G8" i="6"/>
  <c r="F32" i="6"/>
  <c r="AB5" i="1"/>
  <c r="E6" i="7"/>
  <c r="F6" i="7"/>
  <c r="G6" i="7"/>
  <c r="H6" i="7"/>
  <c r="I6" i="7"/>
  <c r="J6" i="7"/>
  <c r="K6" i="7"/>
  <c r="L6" i="7"/>
  <c r="M6" i="7"/>
  <c r="N6" i="7"/>
  <c r="O6" i="7"/>
  <c r="D6" i="7"/>
  <c r="G71" i="5" l="1"/>
  <c r="G70" i="5"/>
  <c r="G69" i="5"/>
  <c r="G67" i="5"/>
  <c r="G68" i="5"/>
  <c r="G66" i="5"/>
  <c r="G58" i="5"/>
  <c r="G59" i="5"/>
  <c r="G60" i="5"/>
  <c r="G61" i="5"/>
  <c r="G62" i="5"/>
  <c r="G63" i="5"/>
  <c r="G64" i="5"/>
  <c r="G65" i="5"/>
  <c r="G57" i="5"/>
  <c r="G36" i="5"/>
  <c r="G37" i="5"/>
  <c r="G38" i="5"/>
  <c r="G39" i="5"/>
  <c r="G40" i="5"/>
  <c r="G41" i="5"/>
  <c r="G42" i="5"/>
  <c r="G43" i="5"/>
  <c r="G44" i="5"/>
  <c r="G45" i="5"/>
  <c r="G46" i="5"/>
  <c r="G47" i="5"/>
  <c r="G48" i="5"/>
  <c r="G49" i="5"/>
  <c r="G50" i="5"/>
  <c r="G51" i="5"/>
  <c r="G52" i="5"/>
  <c r="G53" i="5"/>
  <c r="G54" i="5"/>
  <c r="G55" i="5"/>
  <c r="G56" i="5"/>
  <c r="G35" i="5"/>
  <c r="G34" i="5"/>
  <c r="G5" i="5"/>
  <c r="G6" i="5"/>
  <c r="G7" i="5"/>
  <c r="G8" i="5"/>
  <c r="G9" i="5"/>
  <c r="G10" i="5"/>
  <c r="G11" i="5"/>
  <c r="G12" i="5"/>
  <c r="G13" i="5"/>
  <c r="G14" i="5"/>
  <c r="G15" i="5"/>
  <c r="G16" i="5"/>
  <c r="G17" i="5"/>
  <c r="G18" i="5"/>
  <c r="G19" i="5"/>
  <c r="G20" i="5"/>
  <c r="G21" i="5"/>
  <c r="G22" i="5"/>
  <c r="G23" i="5"/>
  <c r="G24" i="5"/>
  <c r="G25" i="5"/>
  <c r="G26" i="5"/>
  <c r="G27" i="5"/>
  <c r="G28" i="5"/>
  <c r="G29" i="5"/>
  <c r="G30" i="5"/>
  <c r="G31" i="5"/>
  <c r="G32" i="5"/>
  <c r="G33" i="5"/>
  <c r="G4" i="5"/>
  <c r="C7" i="22"/>
  <c r="B3" i="22"/>
  <c r="B7" i="22" s="1"/>
  <c r="H26" i="6"/>
  <c r="R26" i="6" s="1"/>
  <c r="D33" i="6"/>
  <c r="N33" i="6" s="1"/>
  <c r="F34" i="6"/>
  <c r="P34" i="6" s="1"/>
  <c r="F33" i="6"/>
  <c r="P33" i="6" s="1"/>
  <c r="H29" i="6"/>
  <c r="R29" i="6" s="1"/>
  <c r="H28" i="6"/>
  <c r="R28" i="6" s="1"/>
  <c r="Q16" i="7"/>
  <c r="Q8" i="6"/>
  <c r="D30" i="6"/>
  <c r="C31" i="6" s="1"/>
  <c r="C26" i="6"/>
  <c r="M26" i="6" s="1"/>
  <c r="AS17" i="1"/>
  <c r="AS9" i="1"/>
  <c r="AS8" i="1"/>
  <c r="D3" i="23"/>
  <c r="A7" i="1"/>
  <c r="B7" i="1" s="1"/>
  <c r="C7" i="1" s="1"/>
  <c r="D7" i="1" s="1"/>
  <c r="E7" i="1" s="1"/>
  <c r="F7" i="1" s="1"/>
  <c r="G7" i="1" s="1"/>
  <c r="H7" i="1" s="1"/>
  <c r="I7" i="1" s="1"/>
  <c r="J7" i="1" s="1"/>
  <c r="K7" i="1" s="1"/>
  <c r="L7" i="1" s="1"/>
  <c r="M7" i="1" s="1"/>
  <c r="H3" i="15"/>
  <c r="C2" i="10" s="1"/>
  <c r="C3" i="10"/>
  <c r="I7" i="14" s="1"/>
  <c r="I43" i="14" s="1"/>
  <c r="C62" i="5"/>
  <c r="P31" i="6"/>
  <c r="P30" i="6"/>
  <c r="F24" i="6"/>
  <c r="P24" i="6" s="1"/>
  <c r="D27" i="6"/>
  <c r="C28" i="6" s="1"/>
  <c r="D24" i="6"/>
  <c r="N24" i="6" s="1"/>
  <c r="D22" i="6"/>
  <c r="N22" i="6" s="1"/>
  <c r="D21" i="6"/>
  <c r="N21" i="6" s="1"/>
  <c r="C25" i="6"/>
  <c r="M25" i="6" s="1"/>
  <c r="N25" i="6"/>
  <c r="C24" i="6"/>
  <c r="M24" i="6" s="1"/>
  <c r="C21" i="6"/>
  <c r="M21" i="6" s="1"/>
  <c r="C20" i="6"/>
  <c r="M20" i="6" s="1"/>
  <c r="H16" i="6"/>
  <c r="R16" i="6" s="1"/>
  <c r="D16" i="6"/>
  <c r="N16" i="6" s="1"/>
  <c r="D15" i="6"/>
  <c r="N15" i="6" s="1"/>
  <c r="D14" i="6"/>
  <c r="N14" i="6" s="1"/>
  <c r="H12" i="6"/>
  <c r="R12" i="6" s="1"/>
  <c r="C12" i="6"/>
  <c r="M12" i="6" s="1"/>
  <c r="D17" i="23"/>
  <c r="AX17" i="1"/>
  <c r="CJ17" i="1"/>
  <c r="CJ9" i="1"/>
  <c r="CJ8" i="1"/>
  <c r="CI17" i="1"/>
  <c r="CI9" i="1"/>
  <c r="CI8" i="1"/>
  <c r="EW2" i="1"/>
  <c r="EV2" i="1"/>
  <c r="ES2" i="1"/>
  <c r="ER2" i="1"/>
  <c r="BP17" i="1"/>
  <c r="BP9" i="1"/>
  <c r="BP8" i="1"/>
  <c r="EW8" i="1" s="1"/>
  <c r="BN17" i="1"/>
  <c r="BN9" i="1"/>
  <c r="BN8" i="1"/>
  <c r="BM8" i="1"/>
  <c r="BO17" i="1"/>
  <c r="EV17" i="1" s="1"/>
  <c r="BM17" i="1"/>
  <c r="BK17" i="1"/>
  <c r="BL17" i="1"/>
  <c r="ES17" i="1" s="1"/>
  <c r="BL9" i="1"/>
  <c r="BL8" i="1"/>
  <c r="ES8" i="1" s="1"/>
  <c r="BJ17" i="1"/>
  <c r="BI17" i="1"/>
  <c r="B74" i="5"/>
  <c r="B34" i="5"/>
  <c r="DR2" i="1" s="1"/>
  <c r="B25" i="5"/>
  <c r="DH2" i="1" s="1"/>
  <c r="CC9" i="1"/>
  <c r="AG17" i="1"/>
  <c r="AC17" i="1"/>
  <c r="CK17" i="1"/>
  <c r="CH17" i="1"/>
  <c r="CG17" i="1"/>
  <c r="CF17" i="1"/>
  <c r="CE17" i="1"/>
  <c r="CD17" i="1"/>
  <c r="CC17" i="1"/>
  <c r="CB17" i="1"/>
  <c r="CA17" i="1"/>
  <c r="BZ17" i="1"/>
  <c r="BY17" i="1"/>
  <c r="BX17" i="1"/>
  <c r="BW17" i="1"/>
  <c r="BV17" i="1"/>
  <c r="BU17" i="1"/>
  <c r="BT17" i="1"/>
  <c r="BS17" i="1"/>
  <c r="BR17" i="1"/>
  <c r="BQ17" i="1"/>
  <c r="BH17" i="1"/>
  <c r="BG17" i="1"/>
  <c r="BE17" i="1"/>
  <c r="BD17" i="1"/>
  <c r="BC17" i="1"/>
  <c r="AC9" i="1"/>
  <c r="F27" i="23" s="1"/>
  <c r="AX9" i="1"/>
  <c r="BD9" i="1"/>
  <c r="BE9" i="1"/>
  <c r="BG9" i="1"/>
  <c r="BH9" i="1"/>
  <c r="BQ9" i="1"/>
  <c r="BS9" i="1"/>
  <c r="BT9" i="1"/>
  <c r="BW9" i="1"/>
  <c r="BX9" i="1"/>
  <c r="BY9" i="1"/>
  <c r="BZ9" i="1"/>
  <c r="CB9" i="1"/>
  <c r="CD9" i="1"/>
  <c r="CE9" i="1"/>
  <c r="CF9" i="1"/>
  <c r="CG9" i="1"/>
  <c r="CH9" i="1"/>
  <c r="CK9" i="1"/>
  <c r="F18" i="10"/>
  <c r="L15" i="14" s="1"/>
  <c r="DI2" i="1"/>
  <c r="EM2" i="1"/>
  <c r="EL2" i="1"/>
  <c r="DF2" i="1"/>
  <c r="DE2" i="1"/>
  <c r="AC8" i="1"/>
  <c r="BT8" i="1"/>
  <c r="AY13" i="1"/>
  <c r="C26" i="7"/>
  <c r="C25" i="7" s="1"/>
  <c r="I15" i="1" s="1"/>
  <c r="B24" i="5" s="1"/>
  <c r="DG2" i="1" s="1"/>
  <c r="L17" i="10"/>
  <c r="AN14" i="14" s="1"/>
  <c r="AN50" i="14" s="1"/>
  <c r="J17" i="10"/>
  <c r="AD14" i="14" s="1"/>
  <c r="AD50" i="14" s="1"/>
  <c r="H17" i="10"/>
  <c r="V14" i="14" s="1"/>
  <c r="V50" i="14" s="1"/>
  <c r="FB2" i="1"/>
  <c r="DQ2" i="1"/>
  <c r="DN2" i="1"/>
  <c r="DL2" i="1"/>
  <c r="DK2" i="1"/>
  <c r="DJ2" i="1"/>
  <c r="DC10" i="1"/>
  <c r="CX2" i="1"/>
  <c r="CW2" i="1"/>
  <c r="CV2" i="1"/>
  <c r="CU2" i="1"/>
  <c r="CT2" i="1"/>
  <c r="CS2" i="1"/>
  <c r="IP18" i="1"/>
  <c r="BH8" i="1"/>
  <c r="BG8" i="1"/>
  <c r="C13" i="6"/>
  <c r="M13" i="6" s="1"/>
  <c r="L33" i="6"/>
  <c r="AF5" i="1"/>
  <c r="U11" i="1"/>
  <c r="D35" i="23" s="1"/>
  <c r="P12" i="6"/>
  <c r="M23" i="6"/>
  <c r="R10" i="1"/>
  <c r="Q38" i="6"/>
  <c r="L38" i="6"/>
  <c r="Q36" i="6"/>
  <c r="L36" i="6"/>
  <c r="R31" i="6"/>
  <c r="R30" i="6"/>
  <c r="P26" i="6"/>
  <c r="P28" i="6"/>
  <c r="P29" i="6"/>
  <c r="Q24" i="6"/>
  <c r="P21" i="6"/>
  <c r="N32" i="6"/>
  <c r="N31" i="6"/>
  <c r="N29" i="6"/>
  <c r="N28" i="6"/>
  <c r="M22" i="6"/>
  <c r="M27" i="6"/>
  <c r="M30" i="6"/>
  <c r="M18" i="6"/>
  <c r="L32" i="6"/>
  <c r="L31" i="6"/>
  <c r="L29" i="6"/>
  <c r="L28" i="6"/>
  <c r="L21" i="6"/>
  <c r="L22" i="6"/>
  <c r="L23" i="6"/>
  <c r="L24" i="6"/>
  <c r="L25" i="6"/>
  <c r="L26" i="6"/>
  <c r="L27" i="6"/>
  <c r="L30" i="6"/>
  <c r="L20" i="6"/>
  <c r="Q18" i="6"/>
  <c r="L18" i="6"/>
  <c r="P15" i="6"/>
  <c r="P16" i="6"/>
  <c r="P14" i="6"/>
  <c r="L13" i="6"/>
  <c r="L14" i="6"/>
  <c r="L15" i="6"/>
  <c r="L16" i="6"/>
  <c r="L12" i="6"/>
  <c r="L8" i="6"/>
  <c r="Q5" i="6"/>
  <c r="EZ2" i="1"/>
  <c r="EO2" i="1"/>
  <c r="EC2" i="1"/>
  <c r="EB2" i="1"/>
  <c r="CH8" i="1"/>
  <c r="CV8" i="1" s="1"/>
  <c r="CG8" i="1"/>
  <c r="BZ8" i="1"/>
  <c r="CC8" i="1"/>
  <c r="F25" i="6"/>
  <c r="P25" i="6" s="1"/>
  <c r="Y11" i="1"/>
  <c r="H42" i="23" s="1"/>
  <c r="AH11" i="1"/>
  <c r="J32" i="23" s="1"/>
  <c r="AI11" i="1"/>
  <c r="J31" i="23" s="1"/>
  <c r="AL11" i="1"/>
  <c r="J36" i="23" s="1"/>
  <c r="AO11" i="1"/>
  <c r="J38" i="23" s="1"/>
  <c r="T11" i="1"/>
  <c r="P11" i="1"/>
  <c r="D42" i="23" s="1"/>
  <c r="O11" i="1"/>
  <c r="D33" i="23" s="1"/>
  <c r="H5" i="6"/>
  <c r="F5" i="6"/>
  <c r="P5" i="6" s="1"/>
  <c r="B5" i="6"/>
  <c r="L5" i="6" s="1"/>
  <c r="BD8" i="1"/>
  <c r="BE8" i="1"/>
  <c r="BQ8" i="1"/>
  <c r="BU8" i="1"/>
  <c r="BV8" i="1"/>
  <c r="BW8" i="1"/>
  <c r="CD8" i="1"/>
  <c r="CE8" i="1"/>
  <c r="CF8" i="1"/>
  <c r="CK8" i="1"/>
  <c r="D3" i="2"/>
  <c r="D6" i="2"/>
  <c r="E6" i="2" s="1"/>
  <c r="B6" i="2" s="1"/>
  <c r="C13" i="2"/>
  <c r="C15" i="2" s="1"/>
  <c r="C17" i="2" s="1"/>
  <c r="C4" i="10"/>
  <c r="AU7" i="14"/>
  <c r="AU43" i="14" s="1"/>
  <c r="C5" i="10"/>
  <c r="E9" i="14" s="1"/>
  <c r="E45" i="14" s="1"/>
  <c r="C6" i="10"/>
  <c r="V9" i="14"/>
  <c r="V45" i="14" s="1"/>
  <c r="C7" i="10"/>
  <c r="AK9" i="14" s="1"/>
  <c r="AK45" i="14" s="1"/>
  <c r="C8" i="10"/>
  <c r="O34" i="14"/>
  <c r="O70" i="14" s="1"/>
  <c r="F15" i="10"/>
  <c r="P11" i="14" s="1"/>
  <c r="P47" i="14" s="1"/>
  <c r="H15" i="10"/>
  <c r="Y11" i="14" s="1"/>
  <c r="Y47" i="14" s="1"/>
  <c r="J15" i="10"/>
  <c r="AH11" i="14" s="1"/>
  <c r="AH47" i="14" s="1"/>
  <c r="L15" i="10"/>
  <c r="AQ11" i="14" s="1"/>
  <c r="AQ47" i="14" s="1"/>
  <c r="F16" i="10"/>
  <c r="S13" i="14" s="1"/>
  <c r="S49" i="14" s="1"/>
  <c r="H16" i="10"/>
  <c r="AB13" i="14" s="1"/>
  <c r="AB49" i="14" s="1"/>
  <c r="J16" i="10"/>
  <c r="AK13" i="14" s="1"/>
  <c r="AK49" i="14" s="1"/>
  <c r="L16" i="10"/>
  <c r="AT13" i="14" s="1"/>
  <c r="AT49" i="14" s="1"/>
  <c r="F17" i="10"/>
  <c r="L14" i="14" s="1"/>
  <c r="L50" i="14" s="1"/>
  <c r="G17" i="10"/>
  <c r="N14" i="14" s="1"/>
  <c r="N50" i="14" s="1"/>
  <c r="I17" i="10"/>
  <c r="Y14" i="14" s="1"/>
  <c r="Y50" i="14" s="1"/>
  <c r="K17" i="10"/>
  <c r="AF14" i="14" s="1"/>
  <c r="AF50" i="14" s="1"/>
  <c r="M17" i="10"/>
  <c r="AR14" i="14" s="1"/>
  <c r="AR50" i="14" s="1"/>
  <c r="H18" i="10"/>
  <c r="U15" i="14" s="1"/>
  <c r="U52" i="14" s="1"/>
  <c r="J18" i="10"/>
  <c r="AD15" i="14" s="1"/>
  <c r="AD51" i="14" s="1"/>
  <c r="L18" i="10"/>
  <c r="AM15" i="14" s="1"/>
  <c r="AM52" i="14" s="1"/>
  <c r="F19" i="10"/>
  <c r="L17" i="14" s="1"/>
  <c r="H19" i="10"/>
  <c r="U17" i="14" s="1"/>
  <c r="J19" i="10"/>
  <c r="AD17" i="14" s="1"/>
  <c r="L19" i="10"/>
  <c r="AM17" i="14" s="1"/>
  <c r="F20" i="10"/>
  <c r="L19" i="14" s="1"/>
  <c r="H20" i="10"/>
  <c r="U19" i="14" s="1"/>
  <c r="J20" i="10"/>
  <c r="AD19" i="14" s="1"/>
  <c r="L20" i="10"/>
  <c r="AM19" i="14" s="1"/>
  <c r="F21" i="10"/>
  <c r="L21" i="14" s="1"/>
  <c r="L57" i="14" s="1"/>
  <c r="H21" i="10"/>
  <c r="U21" i="14" s="1"/>
  <c r="U58" i="14" s="1"/>
  <c r="J21" i="10"/>
  <c r="AD21" i="14" s="1"/>
  <c r="L21" i="10"/>
  <c r="AM21" i="14" s="1"/>
  <c r="AM57" i="14" s="1"/>
  <c r="F22" i="10"/>
  <c r="L23" i="14" s="1"/>
  <c r="H22" i="10"/>
  <c r="U23" i="14" s="1"/>
  <c r="U60" i="14" s="1"/>
  <c r="J22" i="10"/>
  <c r="AD23" i="14" s="1"/>
  <c r="L22" i="10"/>
  <c r="AM23" i="14" s="1"/>
  <c r="AM59" i="14" s="1"/>
  <c r="F23" i="10"/>
  <c r="L25" i="14" s="1"/>
  <c r="L62" i="14" s="1"/>
  <c r="H23" i="10"/>
  <c r="U25" i="14" s="1"/>
  <c r="U62" i="14" s="1"/>
  <c r="J23" i="10"/>
  <c r="AD25" i="14" s="1"/>
  <c r="AD62" i="14" s="1"/>
  <c r="L23" i="10"/>
  <c r="AM25" i="14" s="1"/>
  <c r="AM61" i="14" s="1"/>
  <c r="F24" i="10"/>
  <c r="L27" i="14" s="1"/>
  <c r="H24" i="10"/>
  <c r="U27" i="14" s="1"/>
  <c r="J24" i="10"/>
  <c r="AD27" i="14" s="1"/>
  <c r="AD64" i="14" s="1"/>
  <c r="L24" i="10"/>
  <c r="AM27" i="14" s="1"/>
  <c r="AM64" i="14" s="1"/>
  <c r="F25" i="10"/>
  <c r="L29" i="14" s="1"/>
  <c r="L66" i="14" s="1"/>
  <c r="H25" i="10"/>
  <c r="U29" i="14" s="1"/>
  <c r="J25" i="10"/>
  <c r="AD29" i="14" s="1"/>
  <c r="AD65" i="14" s="1"/>
  <c r="L25" i="10"/>
  <c r="AM29" i="14" s="1"/>
  <c r="AM66" i="14" s="1"/>
  <c r="F26" i="10"/>
  <c r="N32" i="14" s="1"/>
  <c r="N68" i="14" s="1"/>
  <c r="H26" i="10"/>
  <c r="AB32" i="14" s="1"/>
  <c r="AB68" i="14" s="1"/>
  <c r="J26" i="10"/>
  <c r="AE32" i="14" s="1"/>
  <c r="AE68" i="14" s="1"/>
  <c r="L26" i="10"/>
  <c r="AM32" i="14" s="1"/>
  <c r="AM68" i="14" s="1"/>
  <c r="EP2" i="1"/>
  <c r="EQ2" i="1"/>
  <c r="ET2" i="1"/>
  <c r="EX2" i="1"/>
  <c r="EY2" i="1"/>
  <c r="FA2" i="1"/>
  <c r="B3" i="6"/>
  <c r="L3" i="6" s="1"/>
  <c r="B10" i="6"/>
  <c r="L10" i="6" s="1"/>
  <c r="B40" i="6"/>
  <c r="L40" i="6" s="1"/>
  <c r="AG5" i="1"/>
  <c r="BD10" i="1"/>
  <c r="BG10" i="1"/>
  <c r="CI10" i="1"/>
  <c r="A11" i="1"/>
  <c r="DO2" i="1"/>
  <c r="DM2" i="1"/>
  <c r="DP2" i="1"/>
  <c r="CO2" i="1"/>
  <c r="CP2" i="1"/>
  <c r="CR2" i="1"/>
  <c r="EU2" i="1"/>
  <c r="DV2" i="1"/>
  <c r="DW2" i="1"/>
  <c r="DX2" i="1"/>
  <c r="DY2" i="1"/>
  <c r="DD10" i="1"/>
  <c r="EN2" i="1"/>
  <c r="ED2" i="1"/>
  <c r="EE2" i="1"/>
  <c r="EA2" i="1"/>
  <c r="DZ2" i="1"/>
  <c r="CQ2" i="1"/>
  <c r="CB8" i="1"/>
  <c r="CA8" i="1"/>
  <c r="CA9" i="1"/>
  <c r="BF11" i="1"/>
  <c r="C25" i="5" s="1"/>
  <c r="BO8" i="1"/>
  <c r="BM9" i="1"/>
  <c r="BK9" i="1"/>
  <c r="BO9" i="1"/>
  <c r="BU9" i="1"/>
  <c r="BV9" i="1"/>
  <c r="BY8" i="1"/>
  <c r="P32" i="6"/>
  <c r="N26" i="6"/>
  <c r="BS8" i="1"/>
  <c r="BI8" i="1"/>
  <c r="BR8" i="1"/>
  <c r="BJ8" i="1"/>
  <c r="BC9" i="1"/>
  <c r="BK8" i="1"/>
  <c r="L4" i="15"/>
  <c r="AN2" i="1"/>
  <c r="L3" i="15"/>
  <c r="EL8" i="1" l="1"/>
  <c r="EL9" i="1"/>
  <c r="EM9" i="1"/>
  <c r="EM8" i="1"/>
  <c r="DE9" i="1"/>
  <c r="DE8" i="1"/>
  <c r="DF9" i="1"/>
  <c r="DF8" i="1"/>
  <c r="EM17" i="1"/>
  <c r="DF17" i="1"/>
  <c r="EL17" i="1"/>
  <c r="DE17" i="1"/>
  <c r="D40" i="23"/>
  <c r="D38" i="23"/>
  <c r="F21" i="23"/>
  <c r="F20" i="23"/>
  <c r="F7" i="23"/>
  <c r="H24" i="6"/>
  <c r="R24" i="6" s="1"/>
  <c r="F6" i="23"/>
  <c r="BR9" i="1"/>
  <c r="CC11" i="1"/>
  <c r="C42" i="5" s="1"/>
  <c r="AI14" i="14"/>
  <c r="AI50" i="14" s="1"/>
  <c r="AM58" i="14"/>
  <c r="AQ32" i="14"/>
  <c r="AQ68" i="14" s="1"/>
  <c r="AM51" i="14"/>
  <c r="AM14" i="14"/>
  <c r="AM50" i="14" s="1"/>
  <c r="AK32" i="14"/>
  <c r="AK68" i="14" s="1"/>
  <c r="U32" i="14"/>
  <c r="U68" i="14" s="1"/>
  <c r="AT32" i="14"/>
  <c r="AT68" i="14" s="1"/>
  <c r="AH14" i="14"/>
  <c r="AH50" i="14" s="1"/>
  <c r="AF32" i="14"/>
  <c r="AF68" i="14" s="1"/>
  <c r="AN32" i="14"/>
  <c r="AN68" i="14" s="1"/>
  <c r="AA32" i="14"/>
  <c r="AA68" i="14" s="1"/>
  <c r="AP32" i="14"/>
  <c r="AP68" i="14" s="1"/>
  <c r="AR32" i="14"/>
  <c r="AR68" i="14" s="1"/>
  <c r="AS32" i="14"/>
  <c r="AS68" i="14" s="1"/>
  <c r="AO32" i="14"/>
  <c r="AO68" i="14" s="1"/>
  <c r="AG14" i="14"/>
  <c r="AG50" i="14" s="1"/>
  <c r="AD61" i="14"/>
  <c r="X14" i="14"/>
  <c r="X50" i="14" s="1"/>
  <c r="Z32" i="14"/>
  <c r="Z68" i="14" s="1"/>
  <c r="W32" i="14"/>
  <c r="W68" i="14" s="1"/>
  <c r="U14" i="14"/>
  <c r="U50" i="14" s="1"/>
  <c r="AD63" i="14"/>
  <c r="EP8" i="1"/>
  <c r="ER17" i="1"/>
  <c r="X32" i="14"/>
  <c r="X68" i="14" s="1"/>
  <c r="V32" i="14"/>
  <c r="V68" i="14" s="1"/>
  <c r="Y32" i="14"/>
  <c r="Y68" i="14" s="1"/>
  <c r="AG32" i="14"/>
  <c r="AG68" i="14" s="1"/>
  <c r="AD66" i="14"/>
  <c r="AD32" i="14"/>
  <c r="AD68" i="14" s="1"/>
  <c r="AI32" i="14"/>
  <c r="AI68" i="14" s="1"/>
  <c r="AE14" i="14"/>
  <c r="AE50" i="14" s="1"/>
  <c r="AM60" i="14"/>
  <c r="AM63" i="14"/>
  <c r="AD59" i="14"/>
  <c r="AD60" i="14"/>
  <c r="AD53" i="14"/>
  <c r="AD54" i="14"/>
  <c r="AD52" i="14"/>
  <c r="U64" i="14"/>
  <c r="U63" i="14"/>
  <c r="U59" i="14"/>
  <c r="U57" i="14"/>
  <c r="U56" i="14"/>
  <c r="U55" i="14"/>
  <c r="U54" i="14"/>
  <c r="U53" i="14"/>
  <c r="U51" i="14"/>
  <c r="Z14" i="14"/>
  <c r="Z50" i="14" s="1"/>
  <c r="W14" i="14"/>
  <c r="W50" i="14" s="1"/>
  <c r="M14" i="14"/>
  <c r="M50" i="14" s="1"/>
  <c r="CD11" i="1"/>
  <c r="C9" i="5" s="1"/>
  <c r="ER8" i="1"/>
  <c r="D23" i="6"/>
  <c r="N23" i="6" s="1"/>
  <c r="D18" i="23"/>
  <c r="CO8" i="1"/>
  <c r="E3" i="2"/>
  <c r="F3" i="2" s="1"/>
  <c r="C6" i="2" s="1"/>
  <c r="FB8" i="1"/>
  <c r="H7" i="23" s="1"/>
  <c r="CT8" i="1"/>
  <c r="DQ8" i="1"/>
  <c r="H9" i="23" s="1"/>
  <c r="ET9" i="1"/>
  <c r="BH11" i="1"/>
  <c r="C71" i="5" s="1"/>
  <c r="V10" i="1"/>
  <c r="B4" i="22"/>
  <c r="H21" i="6"/>
  <c r="R21" i="6" s="1"/>
  <c r="F13" i="23"/>
  <c r="L11" i="1"/>
  <c r="D31" i="23" s="1"/>
  <c r="CP9" i="1"/>
  <c r="CK11" i="1"/>
  <c r="C34" i="5" s="1"/>
  <c r="BS11" i="1"/>
  <c r="C50" i="5" s="1"/>
  <c r="CG11" i="1"/>
  <c r="C46" i="5" s="1"/>
  <c r="CV17" i="1"/>
  <c r="DY9" i="1"/>
  <c r="EU8" i="1"/>
  <c r="BU11" i="1"/>
  <c r="C18" i="5" s="1"/>
  <c r="EO9" i="1"/>
  <c r="CS9" i="1"/>
  <c r="B39" i="1"/>
  <c r="E36" i="20"/>
  <c r="E39" i="1"/>
  <c r="FB9" i="1"/>
  <c r="H21" i="23" s="1"/>
  <c r="DK9" i="1"/>
  <c r="CU10" i="1"/>
  <c r="DX9" i="1"/>
  <c r="CO9" i="1"/>
  <c r="CS8" i="1"/>
  <c r="BQ11" i="1"/>
  <c r="EO8" i="1"/>
  <c r="CT9" i="1"/>
  <c r="DI10" i="1"/>
  <c r="DH9" i="1"/>
  <c r="H17" i="23" s="1"/>
  <c r="BN11" i="1"/>
  <c r="C65" i="5" s="1"/>
  <c r="EV9" i="1"/>
  <c r="F20" i="6"/>
  <c r="P20" i="6" s="1"/>
  <c r="ES9" i="1"/>
  <c r="ET8" i="1"/>
  <c r="EW9" i="1"/>
  <c r="CS17" i="1"/>
  <c r="CU17" i="1"/>
  <c r="CW17" i="1"/>
  <c r="DI9" i="1"/>
  <c r="EN9" i="1"/>
  <c r="C8" i="5"/>
  <c r="CW8" i="1"/>
  <c r="CX8" i="1"/>
  <c r="EX17" i="1"/>
  <c r="DO8" i="1"/>
  <c r="H8" i="23" s="1"/>
  <c r="DO9" i="1"/>
  <c r="H22" i="23" s="1"/>
  <c r="CJ11" i="1"/>
  <c r="CH11" i="1"/>
  <c r="CU8" i="1"/>
  <c r="EB8" i="1"/>
  <c r="CT17" i="1"/>
  <c r="ER9" i="1"/>
  <c r="DV8" i="1"/>
  <c r="CI11" i="1"/>
  <c r="F34" i="23" s="1"/>
  <c r="BD11" i="1"/>
  <c r="EB9" i="1"/>
  <c r="BG11" i="1"/>
  <c r="CU9" i="1"/>
  <c r="CX9" i="1"/>
  <c r="CX17" i="1"/>
  <c r="EG9" i="1"/>
  <c r="CZ9" i="1"/>
  <c r="EG8" i="1"/>
  <c r="CZ8" i="1"/>
  <c r="CZ11" i="1" s="1"/>
  <c r="D19" i="5" s="1"/>
  <c r="F19" i="5" s="1"/>
  <c r="EK8" i="1"/>
  <c r="DD8" i="1"/>
  <c r="DC9" i="1"/>
  <c r="EJ9" i="1"/>
  <c r="DA9" i="1"/>
  <c r="EH9" i="1"/>
  <c r="EF17" i="1"/>
  <c r="CY17" i="1"/>
  <c r="EH17" i="1"/>
  <c r="DA17" i="1"/>
  <c r="EJ17" i="1"/>
  <c r="DC17" i="1"/>
  <c r="DN17" i="1"/>
  <c r="DJ8" i="1"/>
  <c r="DU9" i="1"/>
  <c r="CN9" i="1"/>
  <c r="BY11" i="1"/>
  <c r="C14" i="5" s="1"/>
  <c r="EJ8" i="1"/>
  <c r="CY9" i="1"/>
  <c r="EF9" i="1"/>
  <c r="BO11" i="1"/>
  <c r="C66" i="5" s="1"/>
  <c r="CB11" i="1"/>
  <c r="C23" i="5" s="1"/>
  <c r="EH8" i="1"/>
  <c r="DA8" i="1"/>
  <c r="EF8" i="1"/>
  <c r="CY8" i="1"/>
  <c r="EK9" i="1"/>
  <c r="DD9" i="1"/>
  <c r="EI9" i="1"/>
  <c r="DB9" i="1"/>
  <c r="DI17" i="1"/>
  <c r="CN17" i="1"/>
  <c r="DU17" i="1"/>
  <c r="EG17" i="1"/>
  <c r="CZ17" i="1"/>
  <c r="EI17" i="1"/>
  <c r="DB17" i="1"/>
  <c r="EK17" i="1"/>
  <c r="DD17" i="1"/>
  <c r="G30" i="6"/>
  <c r="EV8" i="1"/>
  <c r="DJ9" i="1"/>
  <c r="EQ17" i="1"/>
  <c r="BT11" i="1"/>
  <c r="C17" i="5" s="1"/>
  <c r="BL11" i="1"/>
  <c r="C63" i="5" s="1"/>
  <c r="V17" i="1"/>
  <c r="DN9" i="1"/>
  <c r="BR11" i="1"/>
  <c r="C73" i="5" s="1"/>
  <c r="BK11" i="1"/>
  <c r="EZ8" i="1"/>
  <c r="CA11" i="1"/>
  <c r="C22" i="5" s="1"/>
  <c r="EE8" i="1"/>
  <c r="EX8" i="1"/>
  <c r="BV11" i="1"/>
  <c r="C19" i="5" s="1"/>
  <c r="CW9" i="1"/>
  <c r="DK17" i="1"/>
  <c r="BP11" i="1"/>
  <c r="C67" i="5" s="1"/>
  <c r="EZ17" i="1"/>
  <c r="EB17" i="1"/>
  <c r="EP17" i="1"/>
  <c r="AC11" i="1"/>
  <c r="F41" i="23" s="1"/>
  <c r="G31" i="6"/>
  <c r="N27" i="6"/>
  <c r="C29" i="6"/>
  <c r="EW17" i="1"/>
  <c r="DK8" i="1"/>
  <c r="DN8" i="1"/>
  <c r="DJ17" i="1"/>
  <c r="EO17" i="1"/>
  <c r="DL17" i="1"/>
  <c r="EN17" i="1"/>
  <c r="DL9" i="1"/>
  <c r="BZ11" i="1"/>
  <c r="DC8" i="1"/>
  <c r="DR8" i="1"/>
  <c r="H4" i="23" s="1"/>
  <c r="BM11" i="1"/>
  <c r="C64" i="5" s="1"/>
  <c r="FB17" i="1"/>
  <c r="DR17" i="1"/>
  <c r="DZ9" i="1"/>
  <c r="N30" i="6"/>
  <c r="C32" i="6"/>
  <c r="F22" i="6"/>
  <c r="P22" i="6" s="1"/>
  <c r="DR9" i="1"/>
  <c r="H18" i="23" s="1"/>
  <c r="C8" i="6"/>
  <c r="M8" i="6" s="1"/>
  <c r="N2" i="15"/>
  <c r="CQ17" i="1"/>
  <c r="CQ9" i="1"/>
  <c r="CQ8" i="1"/>
  <c r="EA9" i="1"/>
  <c r="EA17" i="1"/>
  <c r="ED9" i="1"/>
  <c r="ED8" i="1"/>
  <c r="ED17" i="1"/>
  <c r="DX17" i="1"/>
  <c r="DX8" i="1"/>
  <c r="CR9" i="1"/>
  <c r="CR8" i="1"/>
  <c r="CR17" i="1"/>
  <c r="FA17" i="1"/>
  <c r="FA8" i="1"/>
  <c r="U66" i="14"/>
  <c r="U65" i="14"/>
  <c r="AD57" i="14"/>
  <c r="AD58" i="14"/>
  <c r="AP14" i="14"/>
  <c r="AP50" i="14" s="1"/>
  <c r="AO14" i="14"/>
  <c r="AO50" i="14" s="1"/>
  <c r="AQ14" i="14"/>
  <c r="AQ50" i="14" s="1"/>
  <c r="Q14" i="14"/>
  <c r="Q50" i="14" s="1"/>
  <c r="O14" i="14"/>
  <c r="O50" i="14" s="1"/>
  <c r="P14" i="14"/>
  <c r="P50" i="14" s="1"/>
  <c r="BW11" i="1"/>
  <c r="BE11" i="1"/>
  <c r="CP8" i="1"/>
  <c r="DW8" i="1"/>
  <c r="F23" i="6"/>
  <c r="P23" i="6" s="1"/>
  <c r="D20" i="6"/>
  <c r="EC9" i="1"/>
  <c r="EC17" i="1"/>
  <c r="EC8" i="1"/>
  <c r="AL4" i="14"/>
  <c r="AL40" i="14" s="1"/>
  <c r="AK4" i="14"/>
  <c r="AK40" i="14" s="1"/>
  <c r="AP4" i="14"/>
  <c r="AP40" i="14" s="1"/>
  <c r="AO4" i="14"/>
  <c r="AO40" i="14" s="1"/>
  <c r="AN4" i="14"/>
  <c r="AN40" i="14" s="1"/>
  <c r="AI4" i="14"/>
  <c r="AI40" i="14" s="1"/>
  <c r="AR4" i="14"/>
  <c r="AR40" i="14" s="1"/>
  <c r="AT4" i="14"/>
  <c r="AT40" i="14" s="1"/>
  <c r="AU4" i="14"/>
  <c r="AU40" i="14" s="1"/>
  <c r="AQ4" i="14"/>
  <c r="AQ40" i="14" s="1"/>
  <c r="AM4" i="14"/>
  <c r="AM40" i="14" s="1"/>
  <c r="AJ4" i="14"/>
  <c r="AJ40" i="14" s="1"/>
  <c r="AS4" i="14"/>
  <c r="AS40" i="14" s="1"/>
  <c r="L65" i="14"/>
  <c r="AM62" i="14"/>
  <c r="AM65" i="14"/>
  <c r="DV9" i="1"/>
  <c r="DV17" i="1"/>
  <c r="CO17" i="1"/>
  <c r="L61" i="14"/>
  <c r="U61" i="14"/>
  <c r="AM56" i="14"/>
  <c r="AM55" i="14"/>
  <c r="AM53" i="14"/>
  <c r="AM54" i="14"/>
  <c r="CV9" i="1"/>
  <c r="CV10" i="1"/>
  <c r="DQ9" i="1"/>
  <c r="H23" i="23" s="1"/>
  <c r="DQ17" i="1"/>
  <c r="EZ9" i="1"/>
  <c r="EQ8" i="1"/>
  <c r="DZ8" i="1"/>
  <c r="DZ17" i="1"/>
  <c r="DY8" i="1"/>
  <c r="DY17" i="1"/>
  <c r="DW9" i="1"/>
  <c r="DW17" i="1"/>
  <c r="EU9" i="1"/>
  <c r="EU17" i="1"/>
  <c r="CP10" i="1"/>
  <c r="CP17" i="1"/>
  <c r="DP9" i="1"/>
  <c r="H24" i="23" s="1"/>
  <c r="DP17" i="1"/>
  <c r="AH32" i="14"/>
  <c r="AH68" i="14" s="1"/>
  <c r="AJ32" i="14"/>
  <c r="AJ68" i="14" s="1"/>
  <c r="AD56" i="14"/>
  <c r="AD55" i="14"/>
  <c r="CF11" i="1"/>
  <c r="EA8" i="1"/>
  <c r="EE17" i="1"/>
  <c r="DH17" i="1"/>
  <c r="DH8" i="1"/>
  <c r="H3" i="23" s="1"/>
  <c r="DO17" i="1"/>
  <c r="E8" i="6"/>
  <c r="O8" i="6" s="1"/>
  <c r="CE11" i="1"/>
  <c r="DP8" i="1"/>
  <c r="H10" i="23" s="1"/>
  <c r="EE9" i="1"/>
  <c r="ET17" i="1"/>
  <c r="R5" i="6"/>
  <c r="B6" i="6"/>
  <c r="L6" i="6" s="1"/>
  <c r="S32" i="14"/>
  <c r="S68" i="14" s="1"/>
  <c r="Q32" i="14"/>
  <c r="Q68" i="14" s="1"/>
  <c r="O32" i="14"/>
  <c r="O68" i="14" s="1"/>
  <c r="M32" i="14"/>
  <c r="M68" i="14" s="1"/>
  <c r="L32" i="14"/>
  <c r="L68" i="14" s="1"/>
  <c r="P32" i="14"/>
  <c r="P68" i="14" s="1"/>
  <c r="R32" i="14"/>
  <c r="R68" i="14" s="1"/>
  <c r="L63" i="14"/>
  <c r="L64" i="14"/>
  <c r="L59" i="14"/>
  <c r="L60" i="14"/>
  <c r="L58" i="14"/>
  <c r="L55" i="14"/>
  <c r="L56" i="14"/>
  <c r="L53" i="14"/>
  <c r="L54" i="14"/>
  <c r="L51" i="14"/>
  <c r="L52" i="14"/>
  <c r="C53" i="5" l="1"/>
  <c r="F28" i="23"/>
  <c r="H27" i="23"/>
  <c r="H25" i="23"/>
  <c r="C33" i="5"/>
  <c r="F35" i="23"/>
  <c r="Q7" i="1"/>
  <c r="R7" i="1" s="1"/>
  <c r="S7" i="1" s="1"/>
  <c r="T7" i="1" s="1"/>
  <c r="U7" i="1" s="1"/>
  <c r="V7" i="1" s="1"/>
  <c r="W7" i="1" s="1"/>
  <c r="X7" i="1" s="1"/>
  <c r="Y7" i="1" s="1"/>
  <c r="C43" i="5"/>
  <c r="V8" i="1"/>
  <c r="Z8" i="1" s="1"/>
  <c r="F4" i="23" s="1"/>
  <c r="D4" i="23"/>
  <c r="C12" i="5"/>
  <c r="R11" i="1"/>
  <c r="D32" i="23" s="1"/>
  <c r="V9" i="1"/>
  <c r="D23" i="23" s="1"/>
  <c r="ER11" i="1"/>
  <c r="D62" i="5" s="1"/>
  <c r="F59" i="5" s="1"/>
  <c r="DX11" i="1"/>
  <c r="D42" i="5" s="1"/>
  <c r="F39" i="5" s="1"/>
  <c r="AA10" i="1"/>
  <c r="F14" i="23"/>
  <c r="EV11" i="1"/>
  <c r="D66" i="5" s="1"/>
  <c r="F63" i="5" s="1"/>
  <c r="EJ11" i="1"/>
  <c r="D48" i="5" s="1"/>
  <c r="F45" i="5" s="1"/>
  <c r="C16" i="5"/>
  <c r="DC11" i="1"/>
  <c r="D14" i="5" s="1"/>
  <c r="F14" i="5" s="1"/>
  <c r="CT11" i="1"/>
  <c r="D11" i="5" s="1"/>
  <c r="F11" i="5" s="1"/>
  <c r="CS11" i="1"/>
  <c r="D10" i="5" s="1"/>
  <c r="F10" i="5" s="1"/>
  <c r="EW11" i="1"/>
  <c r="D67" i="5" s="1"/>
  <c r="F64" i="5" s="1"/>
  <c r="CU11" i="1"/>
  <c r="D12" i="5" s="1"/>
  <c r="F12" i="5" s="1"/>
  <c r="DE11" i="1"/>
  <c r="D22" i="5" s="1"/>
  <c r="F22" i="5" s="1"/>
  <c r="CO11" i="1"/>
  <c r="FB11" i="1"/>
  <c r="H35" i="23" s="1"/>
  <c r="C52" i="5"/>
  <c r="ES11" i="1"/>
  <c r="D63" i="5" s="1"/>
  <c r="F60" i="5" s="1"/>
  <c r="EO11" i="1"/>
  <c r="D59" i="5" s="1"/>
  <c r="F56" i="5" s="1"/>
  <c r="EC11" i="1"/>
  <c r="D47" i="5" s="1"/>
  <c r="F44" i="5" s="1"/>
  <c r="ET11" i="1"/>
  <c r="D64" i="5" s="1"/>
  <c r="F61" i="5" s="1"/>
  <c r="DN11" i="1"/>
  <c r="DO11" i="1"/>
  <c r="H36" i="23" s="1"/>
  <c r="DP11" i="1"/>
  <c r="H38" i="23" s="1"/>
  <c r="EE11" i="1"/>
  <c r="D51" i="5" s="1"/>
  <c r="F48" i="5" s="1"/>
  <c r="DH11" i="1"/>
  <c r="H31" i="23" s="1"/>
  <c r="EU11" i="1"/>
  <c r="D65" i="5" s="1"/>
  <c r="F62" i="5" s="1"/>
  <c r="DY11" i="1"/>
  <c r="D43" i="5" s="1"/>
  <c r="F40" i="5" s="1"/>
  <c r="DK11" i="1"/>
  <c r="EB11" i="1"/>
  <c r="D46" i="5" s="1"/>
  <c r="F43" i="5" s="1"/>
  <c r="EL11" i="1"/>
  <c r="D56" i="5" s="1"/>
  <c r="F53" i="5" s="1"/>
  <c r="DF11" i="1"/>
  <c r="EZ11" i="1"/>
  <c r="D70" i="5" s="1"/>
  <c r="F67" i="5" s="1"/>
  <c r="DV11" i="1"/>
  <c r="D40" i="5" s="1"/>
  <c r="F37" i="5" s="1"/>
  <c r="CX11" i="1"/>
  <c r="D17" i="5" s="1"/>
  <c r="F17" i="5" s="1"/>
  <c r="C57" i="5"/>
  <c r="C48" i="5"/>
  <c r="DJ11" i="1"/>
  <c r="CW11" i="1"/>
  <c r="D16" i="5" s="1"/>
  <c r="F16" i="5" s="1"/>
  <c r="C51" i="5"/>
  <c r="C40" i="5"/>
  <c r="C6" i="5"/>
  <c r="C13" i="5"/>
  <c r="C47" i="5"/>
  <c r="DZ11" i="1"/>
  <c r="D44" i="5" s="1"/>
  <c r="F41" i="5" s="1"/>
  <c r="EM11" i="1"/>
  <c r="D57" i="5" s="1"/>
  <c r="F54" i="5" s="1"/>
  <c r="CY11" i="1"/>
  <c r="D18" i="5" s="1"/>
  <c r="F18" i="5" s="1"/>
  <c r="EF11" i="1"/>
  <c r="D52" i="5" s="1"/>
  <c r="F49" i="5" s="1"/>
  <c r="DD11" i="1"/>
  <c r="D15" i="5" s="1"/>
  <c r="F15" i="5" s="1"/>
  <c r="EH11" i="1"/>
  <c r="D54" i="5" s="1"/>
  <c r="F51" i="5" s="1"/>
  <c r="EK11" i="1"/>
  <c r="D49" i="5" s="1"/>
  <c r="F46" i="5" s="1"/>
  <c r="EG11" i="1"/>
  <c r="D53" i="5" s="1"/>
  <c r="F50" i="5" s="1"/>
  <c r="C56" i="5"/>
  <c r="C28" i="5"/>
  <c r="C32" i="5"/>
  <c r="DR11" i="1"/>
  <c r="H32" i="23" s="1"/>
  <c r="Z17" i="1"/>
  <c r="AA17" i="1"/>
  <c r="CQ11" i="1"/>
  <c r="D8" i="5" s="1"/>
  <c r="F8" i="5" s="1"/>
  <c r="C49" i="5"/>
  <c r="C15" i="5"/>
  <c r="C27" i="5"/>
  <c r="C59" i="5" s="1"/>
  <c r="C31" i="5"/>
  <c r="C70" i="5" s="1"/>
  <c r="DA11" i="1"/>
  <c r="D20" i="5" s="1"/>
  <c r="F20" i="5" s="1"/>
  <c r="ED11" i="1"/>
  <c r="D50" i="5" s="1"/>
  <c r="F47" i="5" s="1"/>
  <c r="EA11" i="1"/>
  <c r="D45" i="5" s="1"/>
  <c r="F42" i="5" s="1"/>
  <c r="CR11" i="1"/>
  <c r="D9" i="5" s="1"/>
  <c r="F9" i="5" s="1"/>
  <c r="CV11" i="1"/>
  <c r="CP11" i="1"/>
  <c r="D7" i="5" s="1"/>
  <c r="F7" i="5" s="1"/>
  <c r="C20" i="5"/>
  <c r="C54" i="5"/>
  <c r="C10" i="5"/>
  <c r="C44" i="5"/>
  <c r="C11" i="5"/>
  <c r="C45" i="5"/>
  <c r="DQ11" i="1"/>
  <c r="H37" i="23" s="1"/>
  <c r="N20" i="6"/>
  <c r="D36" i="6"/>
  <c r="DW11" i="1"/>
  <c r="D41" i="5" s="1"/>
  <c r="F38" i="5" s="1"/>
  <c r="C41" i="5"/>
  <c r="C7" i="5"/>
  <c r="Z7" i="1" l="1"/>
  <c r="AA7" i="1" s="1"/>
  <c r="AB7" i="1" s="1"/>
  <c r="F42" i="23"/>
  <c r="AA8" i="1"/>
  <c r="H14" i="6" s="1"/>
  <c r="R14" i="6" s="1"/>
  <c r="D9" i="23"/>
  <c r="AG9" i="1"/>
  <c r="H26" i="23" s="1"/>
  <c r="BC8" i="1"/>
  <c r="BC11" i="1" s="1"/>
  <c r="D13" i="5"/>
  <c r="F13" i="5" s="1"/>
  <c r="D23" i="5"/>
  <c r="F23" i="5" s="1"/>
  <c r="D27" i="5"/>
  <c r="F27" i="5" s="1"/>
  <c r="D31" i="5"/>
  <c r="F31" i="5" s="1"/>
  <c r="D6" i="5"/>
  <c r="F6" i="5" s="1"/>
  <c r="AB17" i="1"/>
  <c r="D33" i="5"/>
  <c r="F33" i="5" s="1"/>
  <c r="D25" i="5"/>
  <c r="C16" i="10" s="1"/>
  <c r="D71" i="5"/>
  <c r="F68" i="5" s="1"/>
  <c r="D34" i="5"/>
  <c r="F34" i="5" s="1"/>
  <c r="D28" i="5"/>
  <c r="F28" i="5" s="1"/>
  <c r="D32" i="5"/>
  <c r="F32" i="5" s="1"/>
  <c r="D73" i="5"/>
  <c r="F70" i="5" s="1"/>
  <c r="V11" i="1"/>
  <c r="D37" i="23" s="1"/>
  <c r="Z9" i="1"/>
  <c r="F18" i="23" s="1"/>
  <c r="AA9" i="1"/>
  <c r="F19" i="23" s="1"/>
  <c r="AJ7" i="1"/>
  <c r="AK7" i="1" s="1"/>
  <c r="AL7" i="1" s="1"/>
  <c r="AM7" i="1" s="1"/>
  <c r="AN7" i="1" s="1"/>
  <c r="BX8" i="1"/>
  <c r="DL8" i="1" s="1"/>
  <c r="H11" i="23" s="1"/>
  <c r="F5" i="23"/>
  <c r="AG8" i="1"/>
  <c r="BB17" i="1"/>
  <c r="AF17" i="1"/>
  <c r="N36" i="6"/>
  <c r="AD7" i="1" l="1"/>
  <c r="AE7" i="1" s="1"/>
  <c r="AG7" i="1" s="1"/>
  <c r="AR7" i="1"/>
  <c r="AS7" i="1" s="1"/>
  <c r="BI9" i="1"/>
  <c r="BI11" i="1" s="1"/>
  <c r="C60" i="5" s="1"/>
  <c r="AB8" i="1"/>
  <c r="F10" i="23" s="1"/>
  <c r="BB8" i="1"/>
  <c r="DM8" i="1" s="1"/>
  <c r="H6" i="23" s="1"/>
  <c r="AF8" i="1"/>
  <c r="H23" i="6" s="1"/>
  <c r="R23" i="6" s="1"/>
  <c r="CN8" i="1"/>
  <c r="CN11" i="1" s="1"/>
  <c r="D5" i="5" s="1"/>
  <c r="F5" i="5" s="1"/>
  <c r="DU8" i="1"/>
  <c r="DU11" i="1" s="1"/>
  <c r="D39" i="5" s="1"/>
  <c r="F36" i="5" s="1"/>
  <c r="EP9" i="1"/>
  <c r="EP11" i="1" s="1"/>
  <c r="D60" i="5" s="1"/>
  <c r="F57" i="5" s="1"/>
  <c r="BJ9" i="1"/>
  <c r="AA11" i="1"/>
  <c r="F33" i="23" s="1"/>
  <c r="AF9" i="1"/>
  <c r="H19" i="23" s="1"/>
  <c r="F25" i="5"/>
  <c r="C12" i="10"/>
  <c r="AB9" i="1"/>
  <c r="F24" i="23" s="1"/>
  <c r="Z11" i="1"/>
  <c r="F32" i="23" s="1"/>
  <c r="BB9" i="1"/>
  <c r="BX11" i="1"/>
  <c r="C21" i="5" s="1"/>
  <c r="EY8" i="1"/>
  <c r="DL11" i="1"/>
  <c r="H39" i="23" s="1"/>
  <c r="EN8" i="1"/>
  <c r="EN11" i="1" s="1"/>
  <c r="D58" i="5" s="1"/>
  <c r="F55" i="5" s="1"/>
  <c r="EI8" i="1"/>
  <c r="EI11" i="1" s="1"/>
  <c r="D55" i="5" s="1"/>
  <c r="F52" i="5" s="1"/>
  <c r="DB8" i="1"/>
  <c r="DB11" i="1" s="1"/>
  <c r="D21" i="5" s="1"/>
  <c r="F21" i="5" s="1"/>
  <c r="DI8" i="1"/>
  <c r="H13" i="23" s="1"/>
  <c r="H22" i="6"/>
  <c r="R22" i="6" s="1"/>
  <c r="H12" i="23"/>
  <c r="AG11" i="1"/>
  <c r="H40" i="23" s="1"/>
  <c r="C5" i="5"/>
  <c r="C39" i="5"/>
  <c r="DT17" i="1"/>
  <c r="CM17" i="1"/>
  <c r="AJ17" i="1"/>
  <c r="DG17" i="1"/>
  <c r="EY17" i="1"/>
  <c r="DM17" i="1"/>
  <c r="DG8" i="1" l="1"/>
  <c r="F12" i="23" s="1"/>
  <c r="AJ8" i="1"/>
  <c r="AK8" i="1" s="1"/>
  <c r="AM8" i="1" s="1"/>
  <c r="H5" i="23"/>
  <c r="H20" i="6"/>
  <c r="R20" i="6" s="1"/>
  <c r="DT8" i="1"/>
  <c r="CM8" i="1"/>
  <c r="F11" i="23" s="1"/>
  <c r="BJ11" i="1"/>
  <c r="FA9" i="1"/>
  <c r="FA11" i="1" s="1"/>
  <c r="D72" i="5" s="1"/>
  <c r="F69" i="5" s="1"/>
  <c r="EQ9" i="1"/>
  <c r="EQ11" i="1" s="1"/>
  <c r="D61" i="5" s="1"/>
  <c r="F58" i="5" s="1"/>
  <c r="EX9" i="1"/>
  <c r="EX11" i="1" s="1"/>
  <c r="D68" i="5" s="1"/>
  <c r="F65" i="5" s="1"/>
  <c r="AF11" i="1"/>
  <c r="H33" i="23" s="1"/>
  <c r="AK17" i="1"/>
  <c r="AB11" i="1"/>
  <c r="F38" i="23" s="1"/>
  <c r="C55" i="5"/>
  <c r="D29" i="5"/>
  <c r="F29" i="5" s="1"/>
  <c r="AJ9" i="1"/>
  <c r="J19" i="23" s="1"/>
  <c r="C26" i="5"/>
  <c r="C58" i="5" s="1"/>
  <c r="C29" i="5"/>
  <c r="CM9" i="1"/>
  <c r="F25" i="23" s="1"/>
  <c r="DM9" i="1"/>
  <c r="H20" i="23" s="1"/>
  <c r="DT9" i="1"/>
  <c r="DT11" i="1" s="1"/>
  <c r="D38" i="5" s="1"/>
  <c r="F35" i="5" s="1"/>
  <c r="DG9" i="1"/>
  <c r="F26" i="23" s="1"/>
  <c r="EY9" i="1"/>
  <c r="EY11" i="1" s="1"/>
  <c r="D69" i="5" s="1"/>
  <c r="F66" i="5" s="1"/>
  <c r="BB11" i="1"/>
  <c r="DI11" i="1"/>
  <c r="H41" i="23" s="1"/>
  <c r="J5" i="23"/>
  <c r="H15" i="6" l="1"/>
  <c r="R15" i="6" s="1"/>
  <c r="C61" i="5"/>
  <c r="C68" i="5"/>
  <c r="C72" i="5"/>
  <c r="AM17" i="1"/>
  <c r="D26" i="5"/>
  <c r="F26" i="5" s="1"/>
  <c r="G7" i="22" s="1"/>
  <c r="C14" i="10"/>
  <c r="AJ11" i="1"/>
  <c r="J33" i="23" s="1"/>
  <c r="AK9" i="1"/>
  <c r="J20" i="23" s="1"/>
  <c r="DG11" i="1"/>
  <c r="F40" i="23" s="1"/>
  <c r="CM11" i="1"/>
  <c r="F39" i="23" s="1"/>
  <c r="C30" i="5"/>
  <c r="C69" i="5" s="1"/>
  <c r="C24" i="5"/>
  <c r="C38" i="5"/>
  <c r="C4" i="5"/>
  <c r="DM11" i="1"/>
  <c r="H34" i="23" s="1"/>
  <c r="AN8" i="1"/>
  <c r="AQ8" i="1" s="1"/>
  <c r="J9" i="23"/>
  <c r="H25" i="6"/>
  <c r="R25" i="6" s="1"/>
  <c r="J6" i="23"/>
  <c r="AX8" i="1" l="1"/>
  <c r="H32" i="6" s="1"/>
  <c r="R32" i="6" s="1"/>
  <c r="J12" i="23"/>
  <c r="C13" i="10"/>
  <c r="AN17" i="1"/>
  <c r="AQ17" i="1" s="1"/>
  <c r="D30" i="5"/>
  <c r="F30" i="5" s="1"/>
  <c r="F7" i="22" s="1"/>
  <c r="D24" i="5"/>
  <c r="F24" i="5" s="1"/>
  <c r="D4" i="5"/>
  <c r="AM9" i="1"/>
  <c r="J23" i="23" s="1"/>
  <c r="C74" i="5"/>
  <c r="AK11" i="1"/>
  <c r="J34" i="23" s="1"/>
  <c r="AX11" i="1"/>
  <c r="J41" i="23" s="1"/>
  <c r="J13" i="23"/>
  <c r="H36" i="6" l="1"/>
  <c r="D38" i="6" s="1"/>
  <c r="N38" i="6" s="1"/>
  <c r="AN9" i="1"/>
  <c r="AQ9" i="1" s="1"/>
  <c r="J26" i="23" s="1"/>
  <c r="C15" i="10"/>
  <c r="AM11" i="1"/>
  <c r="J37" i="23" s="1"/>
  <c r="F4" i="5"/>
  <c r="E7" i="22" s="1"/>
  <c r="D35" i="5"/>
  <c r="C11" i="10"/>
  <c r="D74" i="5"/>
  <c r="D75" i="5" s="1"/>
  <c r="R36" i="6" l="1"/>
  <c r="AQ11" i="1"/>
  <c r="J40" i="23" s="1"/>
  <c r="AN11" i="1"/>
  <c r="F71" i="5"/>
  <c r="D7" i="22" s="1"/>
  <c r="H7" i="22" s="1"/>
  <c r="C17" i="10"/>
</calcChain>
</file>

<file path=xl/comments1.xml><?xml version="1.0" encoding="utf-8"?>
<comments xmlns="http://schemas.openxmlformats.org/spreadsheetml/2006/main">
  <authors>
    <author>TROX</author>
    <author>Zlatina</author>
  </authors>
  <commentList>
    <comment ref="C4" authorId="0" shapeId="0">
      <text>
        <r>
          <rPr>
            <b/>
            <sz val="8"/>
            <color indexed="81"/>
            <rFont val="Tahoma"/>
            <family val="2"/>
            <charset val="204"/>
          </rPr>
          <t>TROX:</t>
        </r>
        <r>
          <rPr>
            <sz val="8"/>
            <color indexed="81"/>
            <rFont val="Tahoma"/>
            <family val="2"/>
            <charset val="204"/>
          </rPr>
          <t xml:space="preserve">
Попълнете число от 1 до 9:
 1. Работник - 3-та категория. Осигурен за всички случаи;
 2. Собственик или земеделски производител * - осигурен за пенсия, здравно  и социален риск;
 3. Собственик или земеделски производител * - осигурен за пенсия и здравно;
 4. Собственик или земеделски производител *, пенсионер - осигурен само здравно;
 5. Работник - назначен по чл. 114 от КТ /без фонд Безработица и ОЗиМ/
 6. Работник 2-ра категория труд
 7. Работник 1-ва категория труд
 8. Изпълнители по договор за управление и контрол
 9. Лица, получ. обезщ. по чл. 222 ал. 1 от КТ
Ако самоосигуряващото се лице е земеделски производител или тютюнопроизводител това се посочва в кол. AR с да или не - точно след последната колона за подпис.
ЗАДЪЛЖИТЕЛНО СЕ ПОПЪЛВА</t>
        </r>
      </text>
    </comment>
    <comment ref="H4" authorId="0" shapeId="0">
      <text>
        <r>
          <rPr>
            <b/>
            <sz val="9"/>
            <color indexed="81"/>
            <rFont val="Tahoma"/>
            <charset val="1"/>
          </rPr>
          <t>TROX:</t>
        </r>
        <r>
          <rPr>
            <sz val="9"/>
            <color indexed="81"/>
            <rFont val="Tahoma"/>
            <charset val="1"/>
          </rPr>
          <t xml:space="preserve">
Полето се попълва в съответствие с Приложение № 1 към чл. 8, ал. 1, т. 1 от ЗБДОО за съответната година
"Минимален осигурителен доход по основни икономически дейности и квалификационни групи професии"</t>
        </r>
      </text>
    </comment>
    <comment ref="I4" authorId="1" shapeId="0">
      <text>
        <r>
          <rPr>
            <b/>
            <sz val="8"/>
            <color indexed="81"/>
            <rFont val="Tahoma"/>
            <family val="2"/>
            <charset val="204"/>
          </rPr>
          <t>TROX:
При Вид осигурен 2, 3 или 4 в това поле се попълва дохода на самоосигуряващото се лице, ако се остави празно доходът ще бъде взетаот клетка F13 на стр. Систем!!!</t>
        </r>
      </text>
    </comment>
    <comment ref="K4" authorId="0" shapeId="0">
      <text>
        <r>
          <rPr>
            <b/>
            <sz val="8"/>
            <color indexed="81"/>
            <rFont val="Tahoma"/>
            <family val="2"/>
            <charset val="204"/>
          </rPr>
          <t>TROX:</t>
        </r>
        <r>
          <rPr>
            <sz val="8"/>
            <color indexed="81"/>
            <rFont val="Tahoma"/>
            <family val="2"/>
            <charset val="204"/>
          </rPr>
          <t xml:space="preserve">
Отработени часове на ден
Таблицата е съставена за 8-часова работна седмица
!!! При Вид Осигурен 2, 3 или 4 това поле не се попълва !!!</t>
        </r>
      </text>
    </comment>
    <comment ref="AH4" authorId="0" shapeId="0">
      <text>
        <r>
          <rPr>
            <b/>
            <sz val="8"/>
            <color indexed="81"/>
            <rFont val="Tahoma"/>
            <family val="2"/>
            <charset val="204"/>
          </rPr>
          <t>TROX:</t>
        </r>
        <r>
          <rPr>
            <sz val="8"/>
            <color indexed="81"/>
            <rFont val="Tahoma"/>
            <family val="2"/>
            <charset val="204"/>
          </rPr>
          <t xml:space="preserve">
</t>
        </r>
        <r>
          <rPr>
            <sz val="10"/>
            <color indexed="81"/>
            <rFont val="Tahoma"/>
            <family val="2"/>
            <charset val="204"/>
          </rPr>
          <t>Това са вноски свързани с доброволно пенсионно осигуряване и застраховка.</t>
        </r>
      </text>
    </comment>
    <comment ref="AI4" authorId="0" shapeId="0">
      <text>
        <r>
          <rPr>
            <b/>
            <sz val="8"/>
            <color indexed="81"/>
            <rFont val="Tahoma"/>
            <family val="2"/>
            <charset val="204"/>
          </rPr>
          <t>TROX:</t>
        </r>
        <r>
          <rPr>
            <sz val="8"/>
            <color indexed="81"/>
            <rFont val="Tahoma"/>
            <family val="2"/>
            <charset val="204"/>
          </rPr>
          <t xml:space="preserve">
- </t>
        </r>
        <r>
          <rPr>
            <sz val="10"/>
            <color indexed="81"/>
            <rFont val="Tahoma"/>
            <family val="2"/>
            <charset val="204"/>
          </rPr>
          <t>Това са обзщетения в/у които не се начисляват осигурителни вноски, но се дължи ДОД
- суми на работници и служители, които работят на втори или допълнителен трудов договор и се осигуряват на максималната сума при основния работодател</t>
        </r>
      </text>
    </comment>
    <comment ref="G6" authorId="0" shapeId="0">
      <text>
        <r>
          <rPr>
            <b/>
            <sz val="8"/>
            <color indexed="81"/>
            <rFont val="Tahoma"/>
            <family val="2"/>
            <charset val="204"/>
          </rPr>
          <t>TROX:</t>
        </r>
        <r>
          <rPr>
            <sz val="8"/>
            <color indexed="81"/>
            <rFont val="Tahoma"/>
            <family val="2"/>
            <charset val="204"/>
          </rPr>
          <t xml:space="preserve">
Задължително се въвежда във формат
001122
00-години примерно 02
11-месеци примерно 06
22-дни примерно 17
примерно 020617
Автоматично се променя на 02г 06м 17д
</t>
        </r>
      </text>
    </comment>
    <comment ref="E15" authorId="0" shapeId="0">
      <text>
        <r>
          <rPr>
            <b/>
            <sz val="10"/>
            <color indexed="81"/>
            <rFont val="Tahoma"/>
            <family val="2"/>
            <charset val="204"/>
          </rPr>
          <t>TROX:</t>
        </r>
        <r>
          <rPr>
            <sz val="10"/>
            <color indexed="81"/>
            <rFont val="Tahoma"/>
            <family val="2"/>
            <charset val="204"/>
          </rPr>
          <t xml:space="preserve">
Задължително напишете НКИД на предприятието в ДВУЦИФРЕН формат</t>
        </r>
      </text>
    </comment>
  </commentList>
</comments>
</file>

<file path=xl/comments2.xml><?xml version="1.0" encoding="utf-8"?>
<comments xmlns="http://schemas.openxmlformats.org/spreadsheetml/2006/main">
  <authors>
    <author>alex</author>
  </authors>
  <commentList>
    <comment ref="C12" authorId="0" shapeId="0">
      <text>
        <r>
          <rPr>
            <b/>
            <sz val="8"/>
            <color indexed="81"/>
            <rFont val="Tahoma"/>
            <family val="2"/>
            <charset val="204"/>
          </rPr>
          <t>TROX:</t>
        </r>
        <r>
          <rPr>
            <sz val="8"/>
            <color indexed="81"/>
            <rFont val="Tahoma"/>
            <family val="2"/>
            <charset val="204"/>
          </rPr>
          <t xml:space="preserve">
Попълнете ръчно</t>
        </r>
      </text>
    </comment>
  </commentList>
</comments>
</file>

<file path=xl/comments3.xml><?xml version="1.0" encoding="utf-8"?>
<comments xmlns="http://schemas.openxmlformats.org/spreadsheetml/2006/main">
  <authors>
    <author>TROX</author>
  </authors>
  <commentList>
    <comment ref="C2" authorId="0" shapeId="0">
      <text>
        <r>
          <rPr>
            <b/>
            <sz val="8"/>
            <color indexed="81"/>
            <rFont val="Tahoma"/>
            <family val="2"/>
            <charset val="204"/>
          </rPr>
          <t>TROX:</t>
        </r>
        <r>
          <rPr>
            <sz val="8"/>
            <color indexed="81"/>
            <rFont val="Tahoma"/>
            <family val="2"/>
            <charset val="204"/>
          </rPr>
          <t xml:space="preserve">
Попълнете Булстата на фирмата или ЕГН на самоосигуряващото се лице при годишна декларация № 6</t>
        </r>
      </text>
    </comment>
  </commentList>
</comments>
</file>

<file path=xl/sharedStrings.xml><?xml version="1.0" encoding="utf-8"?>
<sst xmlns="http://schemas.openxmlformats.org/spreadsheetml/2006/main" count="948" uniqueCount="619">
  <si>
    <t>№</t>
  </si>
  <si>
    <t>Длъжност</t>
  </si>
  <si>
    <t>ДОД</t>
  </si>
  <si>
    <t>Доброволни удръжки</t>
  </si>
  <si>
    <t>Чиста сума за получаване</t>
  </si>
  <si>
    <t>Трудов стаж години</t>
  </si>
  <si>
    <t>Работни дни за предходния месец</t>
  </si>
  <si>
    <t>Среднодневно брутно възнаграждение</t>
  </si>
  <si>
    <t>Сума за платен отпуск</t>
  </si>
  <si>
    <t>Работни дни за текущия месец</t>
  </si>
  <si>
    <t>Отработени дни през текущия месец</t>
  </si>
  <si>
    <r>
      <t xml:space="preserve">Сума за отработени дни
</t>
    </r>
    <r>
      <rPr>
        <b/>
        <sz val="10"/>
        <rFont val="Arial"/>
        <family val="2"/>
        <charset val="204"/>
      </rPr>
      <t>без клас</t>
    </r>
  </si>
  <si>
    <t>Сума</t>
  </si>
  <si>
    <t>Отработени дни</t>
  </si>
  <si>
    <t>Месечна заплата</t>
  </si>
  <si>
    <t>Работни дни на месеца</t>
  </si>
  <si>
    <t>Дни в отпуск</t>
  </si>
  <si>
    <t>Сума за получаване без клас</t>
  </si>
  <si>
    <t>Всичко</t>
  </si>
  <si>
    <t>работни дни:</t>
  </si>
  <si>
    <t>месец</t>
  </si>
  <si>
    <t>Здравно осигуряване</t>
  </si>
  <si>
    <t>Фонд Безработица</t>
  </si>
  <si>
    <t>Универсален пенсионен фонд</t>
  </si>
  <si>
    <t>Дни в отпуск през текущия месец</t>
  </si>
  <si>
    <t>Фонд Пенсии</t>
  </si>
  <si>
    <t>Фонд Общо заболяване и майчинство</t>
  </si>
  <si>
    <t>Максимален осигурителен доход</t>
  </si>
  <si>
    <t>-</t>
  </si>
  <si>
    <t>да</t>
  </si>
  <si>
    <t>Осигурителен доход</t>
  </si>
  <si>
    <t>НАЧИСЛЕНИЯ</t>
  </si>
  <si>
    <t>УДРЪЖКИ</t>
  </si>
  <si>
    <t>Месечен аванс</t>
  </si>
  <si>
    <t>Всичко начисления</t>
  </si>
  <si>
    <t>Всичко удръжки</t>
  </si>
  <si>
    <t>Възнаграждение за отр.дни</t>
  </si>
  <si>
    <t>дни</t>
  </si>
  <si>
    <t>ИЗБЕРЕТЕ</t>
  </si>
  <si>
    <t>Редовен и допълнителен годишен отпуск</t>
  </si>
  <si>
    <t>ЛИЧНИ ОСИГУРОВКИ</t>
  </si>
  <si>
    <t>СУМА ЗА ОБЛАГАНЕ С ДОД</t>
  </si>
  <si>
    <t>ВСИЧКО ТРУДОВО ВЪЗНАГРАЖДЕНИЕ</t>
  </si>
  <si>
    <t>Вид осигурен</t>
  </si>
  <si>
    <t>сума</t>
  </si>
  <si>
    <t>Година на раждане</t>
  </si>
  <si>
    <t>Социални разходи, в/у които се дължат осигуровки</t>
  </si>
  <si>
    <t>Подпис за получен аванс</t>
  </si>
  <si>
    <t>Авансово плащане</t>
  </si>
  <si>
    <t>Дни в неплатен отпуск</t>
  </si>
  <si>
    <t>Остатък за получаване</t>
  </si>
  <si>
    <t>БРУТНО ТРУДОВО ВЪЗНАГРАЖДЕНИЕ</t>
  </si>
  <si>
    <t>Отработени дни за месеца</t>
  </si>
  <si>
    <t>ПЛАТЕН ОТПУСК</t>
  </si>
  <si>
    <t>НЕПЛАТЕН ОТПУСК</t>
  </si>
  <si>
    <t>Минимален осигурителен доход за самоосигуряващи се</t>
  </si>
  <si>
    <t xml:space="preserve">преди </t>
  </si>
  <si>
    <t>след</t>
  </si>
  <si>
    <t>Възнаграждение за месец</t>
  </si>
  <si>
    <t>Дневно работно време /часове/</t>
  </si>
  <si>
    <t>Дневно работно време /часа/</t>
  </si>
  <si>
    <t>Болнични и бременност</t>
  </si>
  <si>
    <t>Отглеждане на дете до 2 год.</t>
  </si>
  <si>
    <t>Платен отпуск</t>
  </si>
  <si>
    <t>Социални разходи</t>
  </si>
  <si>
    <t>Други възнаграждения облагаеми</t>
  </si>
  <si>
    <t>Други необлагаеми</t>
  </si>
  <si>
    <t>вид осигурен</t>
  </si>
  <si>
    <t>Работник - 3-та категория. Осигурен за всички случаи</t>
  </si>
  <si>
    <t>Превод на заплатата по банкова сметка /дебитна или кредитна карта/
да или не</t>
  </si>
  <si>
    <t>Сума, която ще се превежда по съответната сметка на работника</t>
  </si>
  <si>
    <t xml:space="preserve">Номер на сметката </t>
  </si>
  <si>
    <t>Банка</t>
  </si>
  <si>
    <t>Банков код</t>
  </si>
  <si>
    <t>Подпис                   ……….……….</t>
  </si>
  <si>
    <t>Данъци и осигуровки - РЕКАПИТУЛАЦИЯ</t>
  </si>
  <si>
    <t>Вноски за сметка на работодател</t>
  </si>
  <si>
    <t>Фонд "ТЗПБ"</t>
  </si>
  <si>
    <t>Фонд "ГВРС"</t>
  </si>
  <si>
    <t>Здравна осиг. - персонал</t>
  </si>
  <si>
    <t>Здравна осиг. - болнични</t>
  </si>
  <si>
    <t>Здравна осиг. - неплатен отпуск</t>
  </si>
  <si>
    <t>Лични вноски на персонала</t>
  </si>
  <si>
    <t>ДОО - персонал / родени преди 1960 год.</t>
  </si>
  <si>
    <t>ДОО - персонал / родени след 1960 год.</t>
  </si>
  <si>
    <t>ДОО и всички осиг. случай - собственик / след 1960 г.</t>
  </si>
  <si>
    <t>ДОО само пенсия / след 1960 год.</t>
  </si>
  <si>
    <t>ДОО само пенсия / преди 1960 год.</t>
  </si>
  <si>
    <t>ДОО и всички осиг. случай - собственик / преди 1960 г.</t>
  </si>
  <si>
    <t>Здравна осиг. - собственик</t>
  </si>
  <si>
    <t>Здравна осиг. в/у болнични - собственик</t>
  </si>
  <si>
    <t>ставка</t>
  </si>
  <si>
    <t xml:space="preserve">база </t>
  </si>
  <si>
    <t>ДОО в/у соц. разходи / родени преди 1960 год.</t>
  </si>
  <si>
    <t>ДОО в/у соц. разходи / родени след 1960 год.</t>
  </si>
  <si>
    <t>Всичко трудово възнаграждение
Персонал с вид осигурен 1 родени след 1960 год.</t>
  </si>
  <si>
    <t>Доход в/у който се осигурява за неплатен отпуск</t>
  </si>
  <si>
    <t>Собственици осигурени за пенсия и всички осиг. Случаи
родени преди 1960 год.</t>
  </si>
  <si>
    <t>Собственици осигурени за пенсия и всички осиг. Случаи
родени след 1960 год.</t>
  </si>
  <si>
    <t>Собственици осигурени за пенсия 
родени след 1960 год.</t>
  </si>
  <si>
    <t>Собственици осигурени за пенсия 
родени преди 1960 год.</t>
  </si>
  <si>
    <t>Собственици осигурени само здравно</t>
  </si>
  <si>
    <t>на</t>
  </si>
  <si>
    <t>Коефицент</t>
  </si>
  <si>
    <t>Един ден отпуск</t>
  </si>
  <si>
    <t xml:space="preserve">РАЗЧЕТНО ПЛАТЕЖНА ВЕДОМОСТ  </t>
  </si>
  <si>
    <t>Процентът за фонд Трудова злополука и профеисонална болест се определя от код икономическа дейност на предприятието НКИД. В ляво процентите излизат автоматичне като въведете кода в клетка Е18 на РПВ-то. Така че препоръчвам да не променяте нищо в клетките вляво.</t>
  </si>
  <si>
    <t>% фонд ТЗПБ</t>
  </si>
  <si>
    <t>% фонд ГВРС</t>
  </si>
  <si>
    <t>СИСТЕМНА СТРАНИЦА</t>
  </si>
  <si>
    <t>Обезщетение за отглеждане на дете до 2 години</t>
  </si>
  <si>
    <t xml:space="preserve"> </t>
  </si>
  <si>
    <t>Системен ред</t>
  </si>
  <si>
    <t>Работник по чл.114 от КТ /без ОЗМ и Безработица/</t>
  </si>
  <si>
    <t>Ако откриете грешка в разпределението на вноските по отделните фондове моля пишете на spumpala@abv.bg</t>
  </si>
  <si>
    <t>Доход, в/у който се самоосигуряват собствениците</t>
  </si>
  <si>
    <t>Възнаграждение за отработени дни и часове</t>
  </si>
  <si>
    <t>Фонд Пенсии в/у социaлни разходи</t>
  </si>
  <si>
    <t>Подпис за получавaнe на остатъка</t>
  </si>
  <si>
    <t>Минимален осигурителен доход</t>
  </si>
  <si>
    <t>не</t>
  </si>
  <si>
    <t>корекция</t>
  </si>
  <si>
    <t>осиг. каса</t>
  </si>
  <si>
    <t>Всичко трудово възнаграждение
Персонал с вид осигурен 1 родени преди 1960 год.</t>
  </si>
  <si>
    <t>Минимален осиг. доход</t>
  </si>
  <si>
    <t>За ДОО</t>
  </si>
  <si>
    <t>За Учителски пенсионен фонд</t>
  </si>
  <si>
    <t>За ДЗПО - УПФ</t>
  </si>
  <si>
    <t>За ДЗПО - ППФ</t>
  </si>
  <si>
    <t>За здравно осигуряване</t>
  </si>
  <si>
    <t>За фонд ГВРС</t>
  </si>
  <si>
    <t>Работник - 2-ра ктегория. Осигурен за всички случаи</t>
  </si>
  <si>
    <t>Работник - 1-ра ктегория. Осигурен за всички случаи</t>
  </si>
  <si>
    <t>Осигуровки за сметка на работника</t>
  </si>
  <si>
    <t>2б</t>
  </si>
  <si>
    <t>н.отп</t>
  </si>
  <si>
    <t>гврс</t>
  </si>
  <si>
    <t>ср-ди</t>
  </si>
  <si>
    <t>Доход на работници осигурен 5 родени след 1959 год.</t>
  </si>
  <si>
    <t>Доход на работници вид осигурен 5 родени преди 1959 год.</t>
  </si>
  <si>
    <t>Сума на болничните от собственици само за вид осигурeн 2</t>
  </si>
  <si>
    <t>Доход на работници 2-ра категория труд преди 1960 год.</t>
  </si>
  <si>
    <t>Доход на работници 2-ра категория труд след 1960 год.</t>
  </si>
  <si>
    <t>Доход на работници 1-ва категория труд след 1960 год.</t>
  </si>
  <si>
    <t>Доход на работници 1-ва категория труд преди 1960 год.</t>
  </si>
  <si>
    <t>Информация за Декларация 6</t>
  </si>
  <si>
    <t>Булстат на фирмата/ЕГН</t>
  </si>
  <si>
    <t>Наименование на осигурителя</t>
  </si>
  <si>
    <t>e-mail</t>
  </si>
  <si>
    <t>Телефон</t>
  </si>
  <si>
    <t>GSM</t>
  </si>
  <si>
    <t>Дата на представяне</t>
  </si>
  <si>
    <t>Член на осигурителна каса</t>
  </si>
  <si>
    <t>К</t>
  </si>
  <si>
    <t>ДОО на персонал по чл. 114 от КТ / преди 1960 год.</t>
  </si>
  <si>
    <t>ДОО на персонал по чл. 114 от КТ / след 1960 год.</t>
  </si>
  <si>
    <t>ДОО на персонал 2-ра кат/ родени преди 1960 год.</t>
  </si>
  <si>
    <t>ДОО на персонал 2-ра кат/ родени след 1960 год.</t>
  </si>
  <si>
    <t>ДОО на персонал 3-та кат/ родени преди 1960 год.</t>
  </si>
  <si>
    <t>ДОО на персонал 3-та кат/ родени след 1960 год.</t>
  </si>
  <si>
    <t>ДОО на персонал 1-ва кат/ родени преди 1960 год.</t>
  </si>
  <si>
    <t>ДОО на персонал 1-ва кат/ родени след 1960 год.</t>
  </si>
  <si>
    <t>ДЗПО - ППФ - 2-ра кат</t>
  </si>
  <si>
    <t>ДЗПО - ППФ - 1-ра кат</t>
  </si>
  <si>
    <t>Социални разходи преди 1960 год. /вкл. Вид осигурен 7/</t>
  </si>
  <si>
    <t>Социални разходи след 1960 год. /вкл. Вид осигурен 7/</t>
  </si>
  <si>
    <t>Социални разходи преди 1960 год. /вкл. Вид осигурен 6/</t>
  </si>
  <si>
    <t>Социални разходи след 1960 год. /вкл. Вид осигурен 6/</t>
  </si>
  <si>
    <t>Социални разходи преди 1960 год. /вкл. Вид осигурен 1,5/</t>
  </si>
  <si>
    <t>Социални разходи след 1960 год. /вкл. Вид осигурен 1,5/</t>
  </si>
  <si>
    <t>ДОО в/у соц. разходи / родени преди 1960 год. - 2 кат.</t>
  </si>
  <si>
    <t>ДОО в/у соц. разходи / родени след 1960 год. - 2 кат.</t>
  </si>
  <si>
    <t>ДОО в/у соц. разходи / родени преди 1960 год. - 1 кат.</t>
  </si>
  <si>
    <t>ДОО в/у соц. разходи / родени след 1960 год. - 1 кат.</t>
  </si>
  <si>
    <t>Код</t>
  </si>
  <si>
    <t>УчПФ</t>
  </si>
  <si>
    <t>Данъчна основа</t>
  </si>
  <si>
    <t>Декларация № 6 - Рекапитулация - Месечна Декл.6</t>
  </si>
  <si>
    <t>Трудово възнаграждение за болнични от работодател</t>
  </si>
  <si>
    <t>Трудово възнагражд. за болнични</t>
  </si>
  <si>
    <t>Приложение  № 4 към чл. 2, ал. 2</t>
  </si>
  <si>
    <t>НАЦИОНАЛНА   АГЕНЦИЯ   ЗА   ПРИХОДИТЕ</t>
  </si>
  <si>
    <t xml:space="preserve">Д Е К Л А Р А Ц И Я </t>
  </si>
  <si>
    <t>"Данни за дължими вноски и данък по чл. 42 ЗДДФЛ"</t>
  </si>
  <si>
    <t>2. Наименование на</t>
  </si>
  <si>
    <t xml:space="preserve">3.Член на </t>
  </si>
  <si>
    <t>4. Е-mail</t>
  </si>
  <si>
    <t>5. Телефон</t>
  </si>
  <si>
    <t>6. GSM</t>
  </si>
  <si>
    <t>7.1. Код</t>
  </si>
  <si>
    <t xml:space="preserve"> 8.1. Вид </t>
  </si>
  <si>
    <t>7.2. Код</t>
  </si>
  <si>
    <t xml:space="preserve">8.2. Вид </t>
  </si>
  <si>
    <t>7.3. Код</t>
  </si>
  <si>
    <t xml:space="preserve">8.3. Вид </t>
  </si>
  <si>
    <t>7.4. Код</t>
  </si>
  <si>
    <t xml:space="preserve">8.4. Вид </t>
  </si>
  <si>
    <t xml:space="preserve">  плащане</t>
  </si>
  <si>
    <t xml:space="preserve">9. Месец и година </t>
  </si>
  <si>
    <t>г.</t>
  </si>
  <si>
    <t>10. Дължими вноски за ДОО</t>
  </si>
  <si>
    <t xml:space="preserve">11. Дължими вноски за </t>
  </si>
  <si>
    <t>Учителски пенсионен фонд</t>
  </si>
  <si>
    <t xml:space="preserve">12. Дължими вноски за ДЗПО - </t>
  </si>
  <si>
    <t xml:space="preserve">13. Дължими вноски за ДЗПО - </t>
  </si>
  <si>
    <t>Професионален пенсионен фонд</t>
  </si>
  <si>
    <t xml:space="preserve">14. Дължими вноски </t>
  </si>
  <si>
    <t>за здравно осигуряване</t>
  </si>
  <si>
    <t xml:space="preserve">15. Дължими вноски за фонд </t>
  </si>
  <si>
    <t>"ГВРС"</t>
  </si>
  <si>
    <t xml:space="preserve">17. Авансов данък по чл. 42, </t>
  </si>
  <si>
    <t xml:space="preserve">18. Дата на изплащане/ </t>
  </si>
  <si>
    <t>Начисляване</t>
  </si>
  <si>
    <t>Подпис :</t>
  </si>
  <si>
    <t>Печат</t>
  </si>
  <si>
    <t>обезщетения</t>
  </si>
  <si>
    <t>Данък по чл.42 от ЗДДФЛ</t>
  </si>
  <si>
    <t>ДОД чл. 42 от ЗДДФЛ</t>
  </si>
  <si>
    <t>7.1.</t>
  </si>
  <si>
    <t>8.1.</t>
  </si>
  <si>
    <t>Суми от ведомостта</t>
  </si>
  <si>
    <t>Дата:</t>
  </si>
  <si>
    <t>Обезщетения от ДОО за болнични, коитосе начисляват и изплащат по НОВИЯ начин</t>
  </si>
  <si>
    <t>Дни в отгл.на дете за с/ка на ДОО</t>
  </si>
  <si>
    <t>Дни в болнични за с/ка на ДОО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</si>
  <si>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</si>
  <si>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</si>
  <si>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</si>
  <si>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</si>
  <si>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</si>
  <si>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</si>
  <si>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</si>
  <si>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</si>
  <si>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</si>
  <si>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</si>
  <si>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</si>
  <si>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</si>
  <si>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</si>
  <si>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11. Дължими вноски за Учителски пенсионен фонд</t>
  </si>
  <si>
    <t>12. Дължими вноски за ДЗПО - Универсален пенсионен фонд</t>
  </si>
  <si>
    <t>13. Дължими вноски за ДЗПО - Професионален пенсионен фонд</t>
  </si>
  <si>
    <t>14. Дължими вноски за здравно осигуряване</t>
  </si>
  <si>
    <t>15. Дължими вноски за фонд "ГВРС"</t>
  </si>
  <si>
    <t>2. Наименование на осигурителя</t>
  </si>
  <si>
    <t>1. Код на осигурителя</t>
  </si>
  <si>
    <t>9. Месец и година</t>
  </si>
  <si>
    <t>18. Дата на начисляване/изплащане</t>
  </si>
  <si>
    <t>3. Член на осиг. каса</t>
  </si>
  <si>
    <t>7.1. Код корекция</t>
  </si>
  <si>
    <t>7.2. Код корекция</t>
  </si>
  <si>
    <t>7.3. Код корекция</t>
  </si>
  <si>
    <t>7.4. Код корекция</t>
  </si>
  <si>
    <t>8.1. Вид плащане</t>
  </si>
  <si>
    <t>8.2. Вид плащане</t>
  </si>
  <si>
    <t>8.3. Вид плащане</t>
  </si>
  <si>
    <t>8.4. Вид плащане</t>
  </si>
  <si>
    <t>учпф</t>
  </si>
  <si>
    <t>Всичко трудово възнаграждение на лицата, които се осигуряват за Учителски пенсионен фонд</t>
  </si>
  <si>
    <t>Учителски пенсионен фонд
напишете да или не, за да се изчислява осигуровка в/у възнаграждението на съответния работник
за УЧИТЕЛИ</t>
  </si>
  <si>
    <t>ДОО 3-та преди 1960 г. работодател</t>
  </si>
  <si>
    <t>ДОО 3-та след 1960 г. работодател</t>
  </si>
  <si>
    <t>ДОО 3-та соц.р/ди преди 1960 г. работодател</t>
  </si>
  <si>
    <t>ДОО 3-та соц.р/ди след 1960 г. работодател</t>
  </si>
  <si>
    <t>ДОО 2-ра соц.р/ди преди 1960 г. работодател</t>
  </si>
  <si>
    <t>ДОО 2-ра соц.р/ди след 1960 г. работодател</t>
  </si>
  <si>
    <t>ДОО 1-ва соц.р/ди преди 1960 г. работодател</t>
  </si>
  <si>
    <t>ДОО 1-ва соц.р/ди след 1960 г. работодател</t>
  </si>
  <si>
    <t>ДОО чл.114 от КТ преди 1960 г.</t>
  </si>
  <si>
    <t>ДОО чл.114 от КТ след 1960 г.</t>
  </si>
  <si>
    <t>ДОО 2-ра преди 1960 г. работодател</t>
  </si>
  <si>
    <t>ДОО 2-ра след 1960 г. работодател</t>
  </si>
  <si>
    <t>ДОО 1-ва преди 1960 г. работодател</t>
  </si>
  <si>
    <t>ДОО 1-ва след 1960 г. работодател</t>
  </si>
  <si>
    <t>ГВРС на тези които дължат</t>
  </si>
  <si>
    <t>ДЗПО - ППФ 2-ра + соц.р/ди</t>
  </si>
  <si>
    <t>ДЗПО - ППФ 1-ва + соц.р/ди</t>
  </si>
  <si>
    <t>ЗО персонал</t>
  </si>
  <si>
    <t>ЗО болничен</t>
  </si>
  <si>
    <t>ЗО неплатен отпуск</t>
  </si>
  <si>
    <t>УЧПФ не тези които дължат</t>
  </si>
  <si>
    <t>РЕКАПИТУЛАЦИЯ НА ОСИГУРОВКИ ЗА СМЕТКА НА РАБОТОДАТЕЛЯ</t>
  </si>
  <si>
    <t>ДОО 3-та преди 1960 г. Работник</t>
  </si>
  <si>
    <t>ДОО 3-та след 1960 г. работник</t>
  </si>
  <si>
    <t>ДОО 3-та соц.р/ди преди 1960 г. работник</t>
  </si>
  <si>
    <t>ДОО 3-та соц.р/ди след 1960 г. работник</t>
  </si>
  <si>
    <t>ДОО 2-ра соц.р/ди преди 1960 г. Работник</t>
  </si>
  <si>
    <t>ДОО 2-ра соц.р/ди след 1960 г. Работник</t>
  </si>
  <si>
    <t>ДОО 1-ва соц.р/ди преди 1960 г. Работник</t>
  </si>
  <si>
    <t>ДОО 1-ва соц.р/ди след 1960 г. Работник</t>
  </si>
  <si>
    <t>ДОО 2-ра преди 1960 г. работник</t>
  </si>
  <si>
    <t>ДОО 2-ра след 1960 г. работник</t>
  </si>
  <si>
    <t>ДОО 1-ва преди 1960 г. работник</t>
  </si>
  <si>
    <t>ДОО 1-ва след 1960 г. работник</t>
  </si>
  <si>
    <t>ДОО собственик вид 02 преди 1960 г.</t>
  </si>
  <si>
    <t>ДОО собственик вид 02 след 1960 г.</t>
  </si>
  <si>
    <t>ДОО само пенсия преди 1960 г.</t>
  </si>
  <si>
    <t>ДОО само пенсия след 1960 г.</t>
  </si>
  <si>
    <t>ЗО собственик</t>
  </si>
  <si>
    <t>ЗО собственик в болнични</t>
  </si>
  <si>
    <t>ОСИГУРОВКИ ЗА СМЕТКА НА РАБОТНИКА / СЛУЖИТЕЛЯ</t>
  </si>
  <si>
    <t>системна страница</t>
  </si>
  <si>
    <t>осигуровки за с/ка на работодател</t>
  </si>
  <si>
    <t>осигуровки за с/ка на работника</t>
  </si>
  <si>
    <t>Обезщетения от ДОО за отглеждане на дете до 2 год. коитосе начисляват и изплащат по НОВИЯ начин</t>
  </si>
  <si>
    <t>Доход в/у който се осигурява за неплатен отпуск по желание на работника</t>
  </si>
  <si>
    <t>Здравна осиг. - неплатен отпуск работник</t>
  </si>
  <si>
    <t>Неплатен отпуск</t>
  </si>
  <si>
    <t>ЗО неплатен отпуск РАБОТНИК</t>
  </si>
  <si>
    <t>Основна работна заплата</t>
  </si>
  <si>
    <t>Трудово възнагражд. за стаж</t>
  </si>
  <si>
    <t>Изпълнители по договори за управление и контрол</t>
  </si>
  <si>
    <t>1,6,7,8</t>
  </si>
  <si>
    <t>Доход на изпълнители по ДУК преди 1960 г.</t>
  </si>
  <si>
    <t>Доход на изпълнители по ДУК след 1960 г.</t>
  </si>
  <si>
    <t>Социални разходи преди 1960 год. /вкл. Вид осигурен 8/</t>
  </si>
  <si>
    <t>Социални разходи след 1960 год. /вкл. Вид осигурен 8/</t>
  </si>
  <si>
    <t>ДОО ДУК преди 1960 г. работодател</t>
  </si>
  <si>
    <t>ДОО ДУК след 1960 г. работодател</t>
  </si>
  <si>
    <t>ДОО в/у соц. разходи / родени преди 1960 год. - ДУК</t>
  </si>
  <si>
    <t>ДОО в/у соц. разходи / родени след 1960 год. - ДУК</t>
  </si>
  <si>
    <t>ДОО на изпълнители по ДУК / родени преди 1960 год.</t>
  </si>
  <si>
    <t>ДОО на изпълнители по ДУК / родени след 1960 год.</t>
  </si>
  <si>
    <t>ДОО ДУК соц.р/ди преди 1960 г. работодател</t>
  </si>
  <si>
    <t>ДОО ДУК соц.р/ди след 1960 г. работодател</t>
  </si>
  <si>
    <t>ТЗПБ 3-та, 2-ра и 1-ва категория + чл.114 + ДУК</t>
  </si>
  <si>
    <t>ДЗПО - УПФ - персонал / родени след 1960 г.</t>
  </si>
  <si>
    <t>ДЗПО - УПФ - персонал</t>
  </si>
  <si>
    <t>ДЗПО - УПФ - собственици</t>
  </si>
  <si>
    <t>ДЗПО - УПФ - ДУК / родени след 1960 г.</t>
  </si>
  <si>
    <t>ДЗПО - УПФ след 1960 г. ДУК + соц.р/ди</t>
  </si>
  <si>
    <t>ДОО ДУК преди 1960 г. работник</t>
  </si>
  <si>
    <t>ДОО ДУК след 1960 г. работник</t>
  </si>
  <si>
    <t>ДОО ДУК соц.р/ди преди 1960 г. Работник</t>
  </si>
  <si>
    <t>ДОО ДУК соц.р/ди след 1960 г. Работник</t>
  </si>
  <si>
    <t>ДЗПО - УПФ - ДУК</t>
  </si>
  <si>
    <t>Здравна осиг. - ДУК</t>
  </si>
  <si>
    <t>ЗОВ ДУК</t>
  </si>
  <si>
    <t>Други необлагаеми трудови възнаграждения</t>
  </si>
  <si>
    <t>Допълнителни възнаграждения
облагаеми</t>
  </si>
  <si>
    <r>
      <rPr>
        <b/>
        <sz val="10"/>
        <rFont val="Arial"/>
        <family val="2"/>
        <charset val="204"/>
      </rPr>
      <t xml:space="preserve">% </t>
    </r>
    <r>
      <rPr>
        <sz val="10"/>
        <rFont val="Arial"/>
        <family val="2"/>
        <charset val="204"/>
      </rPr>
      <t>за доп. труд. възн. за придобит труд. стаж и проф. опит /за година/</t>
    </r>
  </si>
  <si>
    <t>Допълнителни трудови възнаграждения за придобит трудов стаж и проф. опит</t>
  </si>
  <si>
    <t>Данъчни облекчения</t>
  </si>
  <si>
    <t>ггммдд</t>
  </si>
  <si>
    <t>x</t>
  </si>
  <si>
    <t>% за труд.възнагр. за стаж</t>
  </si>
  <si>
    <t>Трудов стаж години/месеци/дни</t>
  </si>
  <si>
    <t>93</t>
  </si>
  <si>
    <t>5;</t>
  </si>
  <si>
    <t>Счетоводител:</t>
  </si>
  <si>
    <t>Управител:</t>
  </si>
  <si>
    <t xml:space="preserve"> Име, Презиме, Фамилия</t>
  </si>
  <si>
    <t>Таблица ТЗПБ</t>
  </si>
  <si>
    <t>16</t>
  </si>
  <si>
    <t>22</t>
  </si>
  <si>
    <t>24</t>
  </si>
  <si>
    <t>30</t>
  </si>
  <si>
    <t>41</t>
  </si>
  <si>
    <t>42</t>
  </si>
  <si>
    <t>43</t>
  </si>
  <si>
    <t>50</t>
  </si>
  <si>
    <t>17</t>
  </si>
  <si>
    <t>23</t>
  </si>
  <si>
    <t>25</t>
  </si>
  <si>
    <t>28</t>
  </si>
  <si>
    <t>29</t>
  </si>
  <si>
    <t>35</t>
  </si>
  <si>
    <t>36</t>
  </si>
  <si>
    <t>49</t>
  </si>
  <si>
    <t>52</t>
  </si>
  <si>
    <t>79</t>
  </si>
  <si>
    <t>20</t>
  </si>
  <si>
    <t>21</t>
  </si>
  <si>
    <t>27</t>
  </si>
  <si>
    <t>31</t>
  </si>
  <si>
    <t>32</t>
  </si>
  <si>
    <t>33</t>
  </si>
  <si>
    <t>46</t>
  </si>
  <si>
    <t>53</t>
  </si>
  <si>
    <t>61</t>
  </si>
  <si>
    <t>68</t>
  </si>
  <si>
    <t>84</t>
  </si>
  <si>
    <t>37</t>
  </si>
  <si>
    <t>38</t>
  </si>
  <si>
    <t>39</t>
  </si>
  <si>
    <t>96</t>
  </si>
  <si>
    <t>18</t>
  </si>
  <si>
    <t>58</t>
  </si>
  <si>
    <t>19</t>
  </si>
  <si>
    <t>26</t>
  </si>
  <si>
    <t>45</t>
  </si>
  <si>
    <t>51</t>
  </si>
  <si>
    <t>64</t>
  </si>
  <si>
    <t>66</t>
  </si>
  <si>
    <t>72</t>
  </si>
  <si>
    <t>69</t>
  </si>
  <si>
    <t>70</t>
  </si>
  <si>
    <t>71</t>
  </si>
  <si>
    <t>73</t>
  </si>
  <si>
    <t>74</t>
  </si>
  <si>
    <t>78</t>
  </si>
  <si>
    <t>80</t>
  </si>
  <si>
    <t>81</t>
  </si>
  <si>
    <t>82</t>
  </si>
  <si>
    <t>59</t>
  </si>
  <si>
    <t>60</t>
  </si>
  <si>
    <t>90</t>
  </si>
  <si>
    <t>91</t>
  </si>
  <si>
    <t>92</t>
  </si>
  <si>
    <t>14</t>
  </si>
  <si>
    <t>15</t>
  </si>
  <si>
    <t>47</t>
  </si>
  <si>
    <t>56</t>
  </si>
  <si>
    <t>95</t>
  </si>
  <si>
    <t>55</t>
  </si>
  <si>
    <t>65</t>
  </si>
  <si>
    <t>77</t>
  </si>
  <si>
    <t>62</t>
  </si>
  <si>
    <t>63</t>
  </si>
  <si>
    <t>85</t>
  </si>
  <si>
    <t>75</t>
  </si>
  <si>
    <t>86</t>
  </si>
  <si>
    <t>87</t>
  </si>
  <si>
    <t>88</t>
  </si>
  <si>
    <t>94</t>
  </si>
  <si>
    <t>97</t>
  </si>
  <si>
    <t>98</t>
  </si>
  <si>
    <t>99</t>
  </si>
  <si>
    <t>дата</t>
  </si>
  <si>
    <t>текст</t>
  </si>
  <si>
    <t>Безкасово разпределение на заплата</t>
  </si>
  <si>
    <t>Булстат</t>
  </si>
  <si>
    <t>.</t>
  </si>
  <si>
    <t>IBAN</t>
  </si>
  <si>
    <t>край на ред</t>
  </si>
  <si>
    <t>Клас за предходния месец (лв.)</t>
  </si>
  <si>
    <t>Възнаграждение за предходния месец (лв.)</t>
  </si>
  <si>
    <t>Възнаграждение за текущия месец (лв.)</t>
  </si>
  <si>
    <t>КИД на предприятието</t>
  </si>
  <si>
    <t>Лица, получ. обезщ. по чл. 222 ал. 1 от КТ</t>
  </si>
  <si>
    <t>Доход на лицата получаващи обезщетение по чл.222 ал.1 от КТ преди 1960 г.</t>
  </si>
  <si>
    <t>Доход на лицата получаващи обезщетение по чл.222 ал.1 от КТ след 1960 г.</t>
  </si>
  <si>
    <t>ДОО върху обезщ. По чл.222 ал.1 от КТ преди 1960 г. работодател</t>
  </si>
  <si>
    <t>ДОО върху обезщ. По чл.222 ал.1 от КТ след 1960 г. работодател</t>
  </si>
  <si>
    <t>ДОО в/у обезщетение по чл.222 ал.1 от КТ / преди</t>
  </si>
  <si>
    <t>ДОО в/у обезщетение по чл.222 ал.1 от КТ / след</t>
  </si>
  <si>
    <t>ДОО върху обезщ. По чл.222 ал.1 от КТ преди 1960 г. работник</t>
  </si>
  <si>
    <t>ДОО върху обезщ. По чл.222 ал.1 от КТ след 1960 г. работник</t>
  </si>
  <si>
    <t>ДЗПО - УПФ след 1960 г. 1-ва, 2-ра и 3-та + соц.р/ди+обезщ.222.1</t>
  </si>
  <si>
    <t>П   Р   О   Т   О   К   О   Л</t>
  </si>
  <si>
    <t>Наименование:</t>
  </si>
  <si>
    <t>ЕГН/ЛНЧ/Служебен № от регистъра на НАП:</t>
  </si>
  <si>
    <t xml:space="preserve">ЕИК по БУЛСТАТ: </t>
  </si>
  <si>
    <t>П Ъ Л Н О М О Щ Н О</t>
  </si>
  <si>
    <t xml:space="preserve">Подписаните:                                                                              </t>
  </si>
  <si>
    <t>1.</t>
  </si>
  <si>
    <t>гражданин на:</t>
  </si>
  <si>
    <t>с постоянен адрес:</t>
  </si>
  <si>
    <t>община:</t>
  </si>
  <si>
    <t>област:</t>
  </si>
  <si>
    <t>притежаващ ЛК №:</t>
  </si>
  <si>
    <t>издадена на:</t>
  </si>
  <si>
    <t>от:</t>
  </si>
  <si>
    <t>ЕГН:</t>
  </si>
  <si>
    <t>2.</t>
  </si>
  <si>
    <t xml:space="preserve">УПЪЛНОМОЩАВАМЕ:                                                                           </t>
  </si>
  <si>
    <t>Име</t>
  </si>
  <si>
    <t>ДА ПОДАДЕ НАСТОЯЩИТЕ ДЕКЛАРАЦИИ.</t>
  </si>
  <si>
    <t>УПЪЛНОМОЩИТЕЛИ:</t>
  </si>
  <si>
    <t>1._____________________________</t>
  </si>
  <si>
    <t>2._____________________________</t>
  </si>
  <si>
    <t>Предоставяната информация e за:</t>
  </si>
  <si>
    <t>От месец:</t>
  </si>
  <si>
    <t>ДО месец:</t>
  </si>
  <si>
    <t>Брой записи декларации обр.№ 1:</t>
  </si>
  <si>
    <t>Брой записи декларации обр.№ 3:</t>
  </si>
  <si>
    <t>Брой записи декларации обр.№ 6:</t>
  </si>
  <si>
    <t xml:space="preserve">                                                                                          </t>
  </si>
  <si>
    <t>Подпис:</t>
  </si>
  <si>
    <t>(Печат)</t>
  </si>
  <si>
    <t>Брой записи декларации обр.№ 4 (Обр.2002 г.):</t>
  </si>
  <si>
    <t>Брой записи декларации обр.№ 5:</t>
  </si>
  <si>
    <t>Суми, върху които се дължи само ДОД</t>
  </si>
  <si>
    <t>""</t>
  </si>
  <si>
    <t>МОД за регистрирани земеделски производители</t>
  </si>
  <si>
    <t>Регистриран земеделски производител или тютюнопроизводител</t>
  </si>
  <si>
    <t>Всичко трудово възнаграждение на лицата ф. ГВРС (не се дължи за 2011 г.)</t>
  </si>
  <si>
    <t>ДОО земеделец (всички соц. рискове) преди 1960 г.</t>
  </si>
  <si>
    <t>ДОО земеделец (всички соц. рискове) след 1960 г.</t>
  </si>
  <si>
    <t>Земеделци осигурени за пенсия и всички осиг. Случаи
родени след 1960 год.</t>
  </si>
  <si>
    <t>Земеделци осигурени за пенсия и всички осиг. Случаи
родени преди 1960 год.</t>
  </si>
  <si>
    <t>Земеделци осигурени за пенсия 
родени след 1960 год.</t>
  </si>
  <si>
    <t>Земеделци осигурени за пенсия 
родени преди 1960 год.</t>
  </si>
  <si>
    <t>ДЗПО - УПФ собственици и земеделци</t>
  </si>
  <si>
    <t>ДОО и всичси осиг. случ. - земед. произв. / пр. 1960 г.</t>
  </si>
  <si>
    <t>ДОО и всичси осиг. случ. - земед. произв. / след 1960 г.</t>
  </si>
  <si>
    <t>ДОО само пенсия - земед. произв. / преди 1960 г.</t>
  </si>
  <si>
    <t>ДОО само пенсия - земед. произв. / след 1960 г.</t>
  </si>
  <si>
    <t>ЗЕМЕДЕЛЦИ
ДОО само пенсия преди 1960 г.</t>
  </si>
  <si>
    <t>ЗЕМЕДЕЛЦИ
ДОО само пенсия след 1960 г.</t>
  </si>
  <si>
    <t>Собственик или земеделски производител - осигурен за пенсия, здравно  и социален риск</t>
  </si>
  <si>
    <t>Собственик или земеделски производител - осигурен за пенсия и здравно</t>
  </si>
  <si>
    <t>Собственик или земеделски производител, пенсионер - осигурен само здравно</t>
  </si>
  <si>
    <t>ЕТ Мрамор-92-РК</t>
  </si>
  <si>
    <t>данни за меню TROX РПВ</t>
  </si>
  <si>
    <t>соц.р-ди</t>
  </si>
  <si>
    <t>аван.п-не</t>
  </si>
  <si>
    <t>ред.год.отп.</t>
  </si>
  <si>
    <t>доп.необл.д-д</t>
  </si>
  <si>
    <t>лич вн нам</t>
  </si>
  <si>
    <t>обезщ дод</t>
  </si>
  <si>
    <t>Отдел</t>
  </si>
  <si>
    <t>ЕГН
ИМА ПРОВЕРКА НА ВЕРНОСТТА</t>
  </si>
  <si>
    <t>проверка на ЕГН</t>
  </si>
  <si>
    <t>Общо удръжки</t>
  </si>
  <si>
    <t>№ по ред и Трите имена</t>
  </si>
  <si>
    <t>последна колона</t>
  </si>
  <si>
    <t>Суми, в/у които се дължи ДОД</t>
  </si>
  <si>
    <t>банка</t>
  </si>
  <si>
    <t>bic</t>
  </si>
  <si>
    <t>ofisnap</t>
  </si>
  <si>
    <t>сметка данъци</t>
  </si>
  <si>
    <t>сметка дзпо</t>
  </si>
  <si>
    <t>клон банка</t>
  </si>
  <si>
    <t>адрес банка</t>
  </si>
  <si>
    <t>банканап</t>
  </si>
  <si>
    <t>бикбанканап</t>
  </si>
  <si>
    <t>1</t>
  </si>
  <si>
    <t>2</t>
  </si>
  <si>
    <t>3</t>
  </si>
  <si>
    <t>4</t>
  </si>
  <si>
    <t>5</t>
  </si>
  <si>
    <t>6</t>
  </si>
  <si>
    <t>7</t>
  </si>
  <si>
    <t>8</t>
  </si>
  <si>
    <t>9</t>
  </si>
  <si>
    <t>ал. 6 от ЗДДФЛ</t>
  </si>
  <si>
    <t>чл. 49, ал. 5 от ЗДДФЛ</t>
  </si>
  <si>
    <t xml:space="preserve">16. Удържан данък по чл. 42 и </t>
  </si>
  <si>
    <t>задълженото лице</t>
  </si>
  <si>
    <t>1.Код на</t>
  </si>
  <si>
    <t>задълженто лице</t>
  </si>
  <si>
    <t>Данък по чл.42, ал.6 от ЗДДФЛ</t>
  </si>
  <si>
    <t>17. Авансов данък по чл. 42, ал. 6 от ЗДДФЛ</t>
  </si>
  <si>
    <t>16. Авансово удържан данък по чл. 42 и чл. 49, ал. 5 от ЗДДФЛ</t>
  </si>
  <si>
    <t xml:space="preserve">
Ако нямате дължими вноски въведете 0,00</t>
  </si>
  <si>
    <t>за</t>
  </si>
  <si>
    <t>Задължено лице</t>
  </si>
  <si>
    <t>Булстат/ЕГН</t>
  </si>
  <si>
    <t>общо</t>
  </si>
  <si>
    <t>581111</t>
  </si>
  <si>
    <t>фондове ДОО</t>
  </si>
  <si>
    <t>Фонд Пенсии в/у соц. разходи</t>
  </si>
  <si>
    <t>Изплатени в брой</t>
  </si>
  <si>
    <t>НАЦИОНАЛНА АГЕНЦИЯ ПО ПРИХОДИТЕ
ДЕКЛАРАЦИЯ
Образец № 6    2014 г.
Данни за дължими вноски и данък по чл.42 от ЗДДФЛ</t>
  </si>
  <si>
    <r>
      <t xml:space="preserve">образец № 6    </t>
    </r>
    <r>
      <rPr>
        <b/>
        <sz val="10"/>
        <rFont val="Arial"/>
        <family val="2"/>
        <charset val="204"/>
      </rPr>
      <t>2014 г.</t>
    </r>
  </si>
  <si>
    <t>Приложение № 5, чл.6, ал. 6</t>
  </si>
  <si>
    <r>
      <t xml:space="preserve">За подаване на данни с декларации обр. № 1 и обр. № 6 не се прилага чл. 2, ал. 4 от наредбата, и </t>
    </r>
    <r>
      <rPr>
        <u/>
        <sz val="11"/>
        <color indexed="8"/>
        <rFont val="Calibri"/>
        <family val="2"/>
        <charset val="204"/>
      </rPr>
      <t>не следва</t>
    </r>
    <r>
      <rPr>
        <sz val="11"/>
        <color indexed="8"/>
        <rFont val="Calibri"/>
        <family val="2"/>
        <charset val="204"/>
      </rPr>
      <t xml:space="preserve"> да се подаде:</t>
    </r>
  </si>
  <si>
    <t>декларация обр. № 1*</t>
  </si>
  <si>
    <t>декларация обр. № 6*</t>
  </si>
  <si>
    <t>Информацията се подава на:</t>
  </si>
  <si>
    <t>електронен носител</t>
  </si>
  <si>
    <t>хартиен носител</t>
  </si>
  <si>
    <t xml:space="preserve">* Полетата се попълват само за данни, които се отнасят за периоди след 31.12.2013г. </t>
  </si>
  <si>
    <t>За отраб. дни</t>
  </si>
  <si>
    <t>Обезщетения по КТ</t>
  </si>
  <si>
    <t>ФондГарант вземания</t>
  </si>
  <si>
    <t>Облагаеми</t>
  </si>
  <si>
    <t>За прос. време</t>
  </si>
  <si>
    <t>Общо начисления</t>
  </si>
  <si>
    <t>За Учителски ПФ</t>
  </si>
  <si>
    <t>Дан облекчения</t>
  </si>
  <si>
    <t>Отпуска</t>
  </si>
  <si>
    <t>Осигурит. доход</t>
  </si>
  <si>
    <t>ЗО от осигурен</t>
  </si>
  <si>
    <t>Дан основа</t>
  </si>
  <si>
    <t>ЗО от осигурител</t>
  </si>
  <si>
    <t>Данък</t>
  </si>
  <si>
    <t>Надбавки към заплата</t>
  </si>
  <si>
    <t>ЗО вр нетр осигурен</t>
  </si>
  <si>
    <t>Данък възст.</t>
  </si>
  <si>
    <t>Постоянни надбавки</t>
  </si>
  <si>
    <t>ЗО вр нетр осигурител</t>
  </si>
  <si>
    <t>Удръжки/Запор</t>
  </si>
  <si>
    <t>Брутна заплата</t>
  </si>
  <si>
    <t>ЗО непл.отп.осигурен</t>
  </si>
  <si>
    <t>ЗО непл.отп.осигурит</t>
  </si>
  <si>
    <t>Аванс</t>
  </si>
  <si>
    <t>Бол. от ДОО</t>
  </si>
  <si>
    <t>ДЗПО в ППФ осигурит</t>
  </si>
  <si>
    <t>Получавана сума :</t>
  </si>
  <si>
    <t>Бол. от работод</t>
  </si>
  <si>
    <t>ДЗПО в УПФ осигурен</t>
  </si>
  <si>
    <t>В брой</t>
  </si>
  <si>
    <t>Майчинство</t>
  </si>
  <si>
    <t>ДОО в/у СР от осигурен</t>
  </si>
  <si>
    <t>ДЗПО в УПФ осигурит</t>
  </si>
  <si>
    <t>По банка</t>
  </si>
  <si>
    <t>ДОО в/у СР от осигурит</t>
  </si>
  <si>
    <t>Необлагаеми добавки</t>
  </si>
  <si>
    <t>Болнични общо</t>
  </si>
  <si>
    <t>ДОО от осигурен</t>
  </si>
  <si>
    <t>ДОО от осигурител</t>
  </si>
  <si>
    <t>ф. ТЗПБ</t>
  </si>
  <si>
    <t>Общо</t>
  </si>
  <si>
    <t>20.01.2014</t>
  </si>
  <si>
    <t>110000</t>
  </si>
  <si>
    <t>551111</t>
  </si>
  <si>
    <t>561111</t>
  </si>
  <si>
    <t>сметка доо</t>
  </si>
  <si>
    <t>сметка здравно</t>
  </si>
  <si>
    <t>Проба ЕООД</t>
  </si>
  <si>
    <t>987654322</t>
  </si>
  <si>
    <t>BG28RZBB97831938392837</t>
  </si>
  <si>
    <t>Справка по задължени лица и кодове за вид плащане</t>
  </si>
  <si>
    <t>База ЗОВ неплат.отп.</t>
  </si>
  <si>
    <t>База ЗОВ врем.нетр.</t>
  </si>
  <si>
    <t>Дни в неплатен отпуск по желание на работника и ЗОВ за негова сметка</t>
  </si>
  <si>
    <t>2014,08</t>
  </si>
  <si>
    <t>вер.2014,08      TROX     http://www.trox-bg.com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</si>
</sst>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4">
    <numFmt numFmtId="164" formatCode="_-* #,##0.00\ &quot;лв&quot;_-;\-* #,##0.00\ &quot;лв&quot;_-;_-* &quot;-&quot;??\ &quot;лв&quot;_-;_-@_-"/>
    <numFmt numFmtId="165" formatCode="_-* #,##0.00\ _л_в_-;\-* #,##0.00\ _л_в_-;_-* &quot;-&quot;??\ _л_в_-;_-@_-"/>
    <numFmt numFmtId="166" formatCode="#,##0.00\ _л_в"/>
    <numFmt numFmtId="167" formatCode="#,##0.00\ &quot;лв&quot;"/>
    <numFmt numFmtId="168" formatCode="General\г\о\д"/>
    <numFmt numFmtId="169" formatCode="General\д\н\и"/>
    <numFmt numFmtId="170" formatCode="#,##0.00\ &quot;лв&quot;\|\д\е\н"/>
    <numFmt numFmtId="171" formatCode="General\ \д\н\и"/>
    <numFmt numFmtId="172" formatCode="#,##0\ &quot;лв&quot;"/>
    <numFmt numFmtId="173" formatCode="#,##0\д\н\и"/>
    <numFmt numFmtId="174" formatCode="#,##0_ ;\-#,##0\ "/>
    <numFmt numFmtId="175" formatCode="00"/>
    <numFmt numFmtId="176" formatCode="00&quot; дни&quot;"/>
    <numFmt numFmtId="177" formatCode="0&quot; часа&quot;"/>
    <numFmt numFmtId="178" formatCode="#,##0.00_ ;\-#,##0.00\ "/>
    <numFmt numFmtId="179" formatCode="&quot;в т.ч.&quot;\ General"/>
    <numFmt numFmtId="180" formatCode="000000000"/>
    <numFmt numFmtId="181" formatCode="0.000%"/>
    <numFmt numFmtId="182" formatCode="dd\.mm\.yyyy"/>
    <numFmt numFmtId="183" formatCode="00\г\ 00\м\ 00\д"/>
    <numFmt numFmtId="184" formatCode="dd\.mm\.yyyy\ &quot;г.&quot;;@"/>
    <numFmt numFmtId="185" formatCode="dd\/mm\/yy"/>
    <numFmt numFmtId="186" formatCode="0&quot; г.&quot;"/>
    <numFmt numFmtId="187" formatCode="0__\д\н\и"/>
  </numFmts>
  <fonts count="67" x14ac:knownFonts="1">
    <font>
      <sz val="10"/>
      <name val="Arial"/>
      <charset val="204"/>
    </font>
    <font>
      <sz val="10"/>
      <name val="Arial"/>
      <family val="2"/>
      <charset val="204"/>
    </font>
    <font>
      <b/>
      <sz val="10"/>
      <name val="Arial"/>
      <family val="2"/>
      <charset val="204"/>
    </font>
    <font>
      <b/>
      <u/>
      <sz val="10"/>
      <name val="Arial"/>
      <family val="2"/>
    </font>
    <font>
      <sz val="8"/>
      <color indexed="81"/>
      <name val="Tahoma"/>
      <family val="2"/>
      <charset val="204"/>
    </font>
    <font>
      <b/>
      <sz val="8"/>
      <color indexed="81"/>
      <name val="Tahoma"/>
      <family val="2"/>
      <charset val="204"/>
    </font>
    <font>
      <sz val="10"/>
      <color indexed="10"/>
      <name val="Arial"/>
      <family val="2"/>
    </font>
    <font>
      <sz val="8"/>
      <name val="Arial"/>
      <family val="2"/>
      <charset val="204"/>
    </font>
    <font>
      <b/>
      <sz val="10"/>
      <name val="Arial"/>
      <family val="2"/>
    </font>
    <font>
      <b/>
      <sz val="10"/>
      <name val="Arial"/>
      <family val="2"/>
      <charset val="204"/>
    </font>
    <font>
      <b/>
      <i/>
      <sz val="22"/>
      <name val="Arial"/>
      <family val="2"/>
      <charset val="204"/>
    </font>
    <font>
      <b/>
      <i/>
      <sz val="14"/>
      <name val="Arial"/>
      <family val="2"/>
      <charset val="204"/>
    </font>
    <font>
      <b/>
      <sz val="12"/>
      <name val="Arial"/>
      <family val="2"/>
      <charset val="204"/>
    </font>
    <font>
      <u/>
      <sz val="10"/>
      <name val="Arial"/>
      <family val="2"/>
      <charset val="204"/>
    </font>
    <font>
      <b/>
      <sz val="16"/>
      <name val="Arial"/>
      <family val="2"/>
    </font>
    <font>
      <b/>
      <i/>
      <sz val="10"/>
      <name val="Arial"/>
      <family val="2"/>
      <charset val="204"/>
    </font>
    <font>
      <sz val="10"/>
      <color indexed="9"/>
      <name val="Arial"/>
      <family val="2"/>
      <charset val="204"/>
    </font>
    <font>
      <b/>
      <sz val="10"/>
      <color indexed="81"/>
      <name val="Tahoma"/>
      <family val="2"/>
      <charset val="204"/>
    </font>
    <font>
      <sz val="10"/>
      <color indexed="81"/>
      <name val="Tahoma"/>
      <family val="2"/>
      <charset val="204"/>
    </font>
    <font>
      <b/>
      <sz val="14"/>
      <name val="Arial"/>
      <family val="2"/>
      <charset val="204"/>
    </font>
    <font>
      <b/>
      <i/>
      <sz val="12"/>
      <name val="Arial"/>
      <family val="2"/>
      <charset val="204"/>
    </font>
    <font>
      <sz val="10"/>
      <name val="Arial"/>
      <family val="2"/>
      <charset val="204"/>
    </font>
    <font>
      <b/>
      <sz val="11"/>
      <name val="Arial"/>
      <family val="2"/>
      <charset val="204"/>
    </font>
    <font>
      <b/>
      <sz val="9"/>
      <name val="Arial"/>
      <family val="2"/>
      <charset val="204"/>
    </font>
    <font>
      <sz val="10"/>
      <name val="Arial Black"/>
      <family val="2"/>
      <charset val="204"/>
    </font>
    <font>
      <sz val="7"/>
      <name val="Arial"/>
      <family val="2"/>
      <charset val="204"/>
    </font>
    <font>
      <b/>
      <sz val="7"/>
      <name val="Arial"/>
      <family val="2"/>
      <charset val="204"/>
    </font>
    <font>
      <b/>
      <sz val="8"/>
      <name val="Arial"/>
      <family val="2"/>
      <charset val="204"/>
    </font>
    <font>
      <sz val="22"/>
      <name val="Arial"/>
      <family val="2"/>
      <charset val="204"/>
    </font>
    <font>
      <i/>
      <sz val="8"/>
      <name val="Arial"/>
      <family val="2"/>
      <charset val="204"/>
    </font>
    <font>
      <sz val="12"/>
      <name val="Arial"/>
      <family val="2"/>
      <charset val="204"/>
    </font>
    <font>
      <sz val="10"/>
      <color indexed="9"/>
      <name val="Arial"/>
      <family val="2"/>
      <charset val="204"/>
    </font>
    <font>
      <b/>
      <sz val="12"/>
      <color indexed="10"/>
      <name val="Arial"/>
      <family val="2"/>
      <charset val="204"/>
    </font>
    <font>
      <i/>
      <sz val="10"/>
      <color indexed="10"/>
      <name val="Arial"/>
      <family val="2"/>
      <charset val="204"/>
    </font>
    <font>
      <b/>
      <i/>
      <sz val="9"/>
      <name val="Arial"/>
      <family val="2"/>
      <charset val="204"/>
    </font>
    <font>
      <sz val="9"/>
      <name val="Arial"/>
      <family val="2"/>
      <charset val="204"/>
    </font>
    <font>
      <sz val="11"/>
      <color indexed="8"/>
      <name val="Calibri"/>
      <family val="2"/>
      <charset val="204"/>
    </font>
    <font>
      <sz val="9"/>
      <color indexed="8"/>
      <name val="Calibri"/>
      <family val="2"/>
      <charset val="204"/>
    </font>
    <font>
      <b/>
      <sz val="11"/>
      <color indexed="8"/>
      <name val="Calibri"/>
      <family val="2"/>
      <charset val="204"/>
    </font>
    <font>
      <sz val="10"/>
      <color indexed="9"/>
      <name val="Arial"/>
      <family val="2"/>
      <charset val="204"/>
    </font>
    <font>
      <sz val="10"/>
      <color indexed="27"/>
      <name val="Arial"/>
      <family val="2"/>
      <charset val="204"/>
    </font>
    <font>
      <b/>
      <u/>
      <sz val="14"/>
      <color indexed="8"/>
      <name val="Calibri"/>
      <family val="2"/>
      <charset val="204"/>
    </font>
    <font>
      <b/>
      <sz val="12"/>
      <color indexed="8"/>
      <name val="Calibri"/>
      <family val="2"/>
      <charset val="204"/>
    </font>
    <font>
      <sz val="12"/>
      <name val="Arial Narrow"/>
      <family val="2"/>
      <charset val="204"/>
    </font>
    <font>
      <sz val="12"/>
      <color indexed="9"/>
      <name val="Arial Narrow"/>
      <family val="2"/>
      <charset val="204"/>
    </font>
    <font>
      <sz val="11"/>
      <name val="Arial"/>
      <family val="2"/>
      <charset val="204"/>
    </font>
    <font>
      <sz val="11"/>
      <color theme="1"/>
      <name val="Calibri"/>
      <family val="2"/>
      <charset val="204"/>
      <scheme val="minor"/>
    </font>
    <font>
      <sz val="10"/>
      <color rgb="FF000000"/>
      <name val="Arial"/>
      <family val="2"/>
      <charset val="204"/>
    </font>
    <font>
      <sz val="8"/>
      <color rgb="FF000000"/>
      <name val="Tahoma"/>
      <family val="2"/>
      <charset val="204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i/>
      <sz val="10"/>
      <name val="Arial"/>
      <family val="2"/>
      <charset val="204"/>
    </font>
    <font>
      <i/>
      <sz val="9"/>
      <name val="Arial"/>
      <family val="2"/>
      <charset val="204"/>
    </font>
    <font>
      <u/>
      <sz val="11"/>
      <color indexed="8"/>
      <name val="Calibri"/>
      <family val="2"/>
      <charset val="204"/>
    </font>
    <font>
      <sz val="10"/>
      <color indexed="8"/>
      <name val="Calibri"/>
      <family val="2"/>
      <charset val="204"/>
    </font>
    <font>
      <b/>
      <u/>
      <sz val="11"/>
      <color indexed="8"/>
      <name val="Calibri"/>
      <family val="2"/>
      <charset val="204"/>
    </font>
    <font>
      <b/>
      <sz val="10"/>
      <color indexed="8"/>
      <name val="Calibri"/>
      <family val="2"/>
      <charset val="204"/>
    </font>
    <font>
      <sz val="10"/>
      <color indexed="8"/>
      <name val="Arial Narrow"/>
      <family val="2"/>
      <charset val="204"/>
    </font>
    <font>
      <sz val="11"/>
      <name val="Calibri"/>
      <family val="2"/>
      <charset val="204"/>
      <scheme val="minor"/>
    </font>
    <font>
      <sz val="10"/>
      <name val="Arial Narrow"/>
      <family val="2"/>
      <charset val="204"/>
    </font>
    <font>
      <b/>
      <sz val="10"/>
      <color indexed="8"/>
      <name val="Arial Narrow"/>
      <family val="2"/>
      <charset val="204"/>
    </font>
    <font>
      <b/>
      <sz val="10"/>
      <name val="Arial Narrow"/>
      <family val="2"/>
      <charset val="204"/>
    </font>
    <font>
      <b/>
      <sz val="11"/>
      <color indexed="8"/>
      <name val="Arial Narrow"/>
      <family val="2"/>
      <charset val="204"/>
    </font>
    <font>
      <b/>
      <i/>
      <sz val="11"/>
      <color indexed="8"/>
      <name val="Arial Narrow"/>
      <family val="2"/>
      <charset val="204"/>
    </font>
    <font>
      <sz val="10"/>
      <color theme="0"/>
      <name val="Arial"/>
      <family val="2"/>
      <charset val="204"/>
    </font>
    <font>
      <b/>
      <sz val="11"/>
      <name val="Arial Narrow"/>
      <family val="2"/>
      <charset val="204"/>
    </font>
    <font>
      <sz val="11"/>
      <name val="Arial Narrow"/>
      <family val="2"/>
      <charset val="204"/>
    </font>
  </fonts>
  <fills count="7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FFFFFF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double">
        <color indexed="64"/>
      </right>
      <top/>
      <bottom/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double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double">
        <color indexed="64"/>
      </top>
      <bottom/>
      <diagonal/>
    </border>
    <border>
      <left style="medium">
        <color indexed="64"/>
      </left>
      <right style="double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/>
      <diagonal/>
    </border>
    <border>
      <left/>
      <right style="double">
        <color indexed="64"/>
      </right>
      <top style="medium">
        <color indexed="64"/>
      </top>
      <bottom/>
      <diagonal/>
    </border>
    <border>
      <left/>
      <right/>
      <top style="medium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9">
    <xf numFmtId="0" fontId="0" fillId="0" borderId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46" fillId="0" borderId="0"/>
    <xf numFmtId="0" fontId="21" fillId="0" borderId="0"/>
    <xf numFmtId="0" fontId="2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</cellStyleXfs>
  <cellXfs count="614">
    <xf numFmtId="0" fontId="0" fillId="0" borderId="0" xfId="0"/>
    <xf numFmtId="0" fontId="0" fillId="0" borderId="0" xfId="0" applyProtection="1"/>
    <xf numFmtId="167" fontId="0" fillId="2" borderId="1" xfId="0" applyNumberFormat="1" applyFill="1" applyBorder="1" applyProtection="1">
      <protection locked="0"/>
    </xf>
    <xf numFmtId="169" fontId="0" fillId="2" borderId="1" xfId="0" applyNumberFormat="1" applyFill="1" applyBorder="1" applyProtection="1">
      <protection locked="0"/>
    </xf>
    <xf numFmtId="167" fontId="0" fillId="3" borderId="1" xfId="0" applyNumberFormat="1" applyFill="1" applyBorder="1" applyProtection="1"/>
    <xf numFmtId="169" fontId="0" fillId="3" borderId="1" xfId="0" applyNumberFormat="1" applyFill="1" applyBorder="1" applyProtection="1"/>
    <xf numFmtId="167" fontId="0" fillId="2" borderId="1" xfId="0" applyNumberFormat="1" applyFill="1" applyBorder="1" applyAlignment="1" applyProtection="1">
      <alignment horizontal="right"/>
      <protection locked="0"/>
    </xf>
    <xf numFmtId="0" fontId="0" fillId="0" borderId="0" xfId="0" applyAlignment="1" applyProtection="1">
      <alignment horizontal="center"/>
      <protection locked="0"/>
    </xf>
    <xf numFmtId="0" fontId="3" fillId="0" borderId="0" xfId="0" applyFont="1" applyAlignment="1" applyProtection="1">
      <alignment horizontal="center" vertical="center"/>
    </xf>
    <xf numFmtId="0" fontId="0" fillId="0" borderId="0" xfId="0" applyAlignment="1" applyProtection="1">
      <alignment horizontal="center"/>
    </xf>
    <xf numFmtId="10" fontId="0" fillId="0" borderId="0" xfId="0" applyNumberFormat="1" applyAlignment="1" applyProtection="1">
      <alignment horizontal="center"/>
    </xf>
    <xf numFmtId="0" fontId="0" fillId="0" borderId="0" xfId="0" applyProtection="1">
      <protection hidden="1"/>
    </xf>
    <xf numFmtId="0" fontId="0" fillId="0" borderId="0" xfId="0" applyBorder="1" applyProtection="1"/>
    <xf numFmtId="0" fontId="0" fillId="0" borderId="0" xfId="0" applyAlignment="1" applyProtection="1"/>
    <xf numFmtId="0" fontId="2" fillId="0" borderId="2" xfId="0" applyFont="1" applyBorder="1" applyAlignment="1" applyProtection="1"/>
    <xf numFmtId="0" fontId="0" fillId="0" borderId="0" xfId="0" applyAlignment="1" applyProtection="1">
      <alignment horizontal="left"/>
    </xf>
    <xf numFmtId="0" fontId="3" fillId="0" borderId="0" xfId="0" applyFont="1" applyAlignment="1" applyProtection="1">
      <alignment vertical="center"/>
    </xf>
    <xf numFmtId="0" fontId="13" fillId="0" borderId="0" xfId="0" applyFont="1" applyAlignment="1" applyProtection="1">
      <alignment horizontal="center"/>
    </xf>
    <xf numFmtId="2" fontId="0" fillId="0" borderId="0" xfId="0" applyNumberFormat="1" applyAlignment="1" applyProtection="1">
      <alignment horizontal="right"/>
    </xf>
    <xf numFmtId="2" fontId="0" fillId="0" borderId="3" xfId="0" applyNumberFormat="1" applyBorder="1" applyProtection="1"/>
    <xf numFmtId="0" fontId="2" fillId="0" borderId="0" xfId="0" applyFont="1" applyProtection="1"/>
    <xf numFmtId="0" fontId="2" fillId="0" borderId="0" xfId="0" applyFont="1" applyBorder="1" applyProtection="1"/>
    <xf numFmtId="180" fontId="0" fillId="0" borderId="0" xfId="2" applyNumberFormat="1" applyFont="1" applyBorder="1" applyAlignment="1" applyProtection="1"/>
    <xf numFmtId="0" fontId="0" fillId="0" borderId="0" xfId="0" applyProtection="1">
      <protection locked="0" hidden="1"/>
    </xf>
    <xf numFmtId="0" fontId="0" fillId="0" borderId="0" xfId="0" applyAlignment="1" applyProtection="1">
      <alignment horizontal="center" vertical="center"/>
      <protection locked="0" hidden="1"/>
    </xf>
    <xf numFmtId="0" fontId="0" fillId="3" borderId="1" xfId="0" applyFill="1" applyBorder="1" applyAlignment="1" applyProtection="1">
      <alignment horizontal="center" vertical="center" wrapText="1"/>
    </xf>
    <xf numFmtId="0" fontId="1" fillId="3" borderId="1" xfId="0" applyFont="1" applyFill="1" applyBorder="1" applyAlignment="1" applyProtection="1">
      <alignment horizontal="center" vertical="center" wrapText="1"/>
    </xf>
    <xf numFmtId="0" fontId="1" fillId="3" borderId="1" xfId="0" applyFont="1" applyFill="1" applyBorder="1" applyAlignment="1" applyProtection="1">
      <alignment horizontal="center" wrapText="1"/>
    </xf>
    <xf numFmtId="170" fontId="0" fillId="3" borderId="1" xfId="0" applyNumberFormat="1" applyFill="1" applyBorder="1" applyProtection="1"/>
    <xf numFmtId="167" fontId="0" fillId="0" borderId="0" xfId="0" applyNumberFormat="1" applyAlignment="1" applyProtection="1">
      <alignment horizontal="right"/>
    </xf>
    <xf numFmtId="168" fontId="0" fillId="0" borderId="0" xfId="0" applyNumberFormat="1" applyProtection="1"/>
    <xf numFmtId="167" fontId="0" fillId="0" borderId="0" xfId="0" applyNumberFormat="1" applyProtection="1"/>
    <xf numFmtId="169" fontId="0" fillId="0" borderId="0" xfId="0" applyNumberFormat="1" applyProtection="1"/>
    <xf numFmtId="170" fontId="0" fillId="0" borderId="0" xfId="0" applyNumberFormat="1" applyProtection="1"/>
    <xf numFmtId="167" fontId="0" fillId="3" borderId="1" xfId="0" applyNumberFormat="1" applyFill="1" applyBorder="1" applyAlignment="1" applyProtection="1">
      <alignment horizontal="center" vertical="center" wrapText="1"/>
    </xf>
    <xf numFmtId="167" fontId="0" fillId="3" borderId="1" xfId="0" applyNumberFormat="1" applyFill="1" applyBorder="1" applyAlignment="1" applyProtection="1">
      <alignment horizontal="right"/>
    </xf>
    <xf numFmtId="167" fontId="0" fillId="0" borderId="0" xfId="0" applyNumberFormat="1" applyBorder="1" applyProtection="1"/>
    <xf numFmtId="0" fontId="2" fillId="0" borderId="0" xfId="0" applyFont="1" applyAlignment="1" applyProtection="1"/>
    <xf numFmtId="10" fontId="6" fillId="0" borderId="0" xfId="0" applyNumberFormat="1" applyFont="1" applyAlignment="1" applyProtection="1">
      <alignment horizontal="center"/>
    </xf>
    <xf numFmtId="0" fontId="0" fillId="0" borderId="0" xfId="0" applyBorder="1" applyProtection="1">
      <protection hidden="1"/>
    </xf>
    <xf numFmtId="0" fontId="2" fillId="0" borderId="0" xfId="0" applyFont="1" applyAlignment="1" applyProtection="1">
      <alignment horizontal="center" wrapText="1"/>
    </xf>
    <xf numFmtId="0" fontId="0" fillId="0" borderId="0" xfId="0" applyFill="1" applyBorder="1" applyAlignment="1" applyProtection="1">
      <alignment horizontal="left"/>
      <protection hidden="1"/>
    </xf>
    <xf numFmtId="0" fontId="2" fillId="0" borderId="0" xfId="0" applyFont="1" applyAlignment="1" applyProtection="1">
      <alignment horizontal="right" vertical="center"/>
      <protection hidden="1"/>
    </xf>
    <xf numFmtId="0" fontId="0" fillId="0" borderId="0" xfId="0" applyFill="1" applyBorder="1" applyAlignment="1" applyProtection="1">
      <alignment horizontal="center"/>
      <protection hidden="1"/>
    </xf>
    <xf numFmtId="0" fontId="12" fillId="0" borderId="0" xfId="0" applyFont="1" applyAlignment="1" applyProtection="1">
      <alignment horizontal="center" vertical="center"/>
      <protection hidden="1"/>
    </xf>
    <xf numFmtId="0" fontId="2" fillId="0" borderId="0" xfId="0" applyFont="1" applyAlignment="1" applyProtection="1">
      <alignment horizontal="center" vertical="center"/>
      <protection hidden="1"/>
    </xf>
    <xf numFmtId="0" fontId="2" fillId="0" borderId="0" xfId="0" applyFont="1" applyAlignment="1" applyProtection="1">
      <alignment horizontal="left" vertical="center"/>
      <protection hidden="1"/>
    </xf>
    <xf numFmtId="0" fontId="0" fillId="0" borderId="0" xfId="0" applyAlignment="1" applyProtection="1">
      <alignment horizontal="right" vertical="center"/>
      <protection hidden="1"/>
    </xf>
    <xf numFmtId="0" fontId="0" fillId="0" borderId="0" xfId="0" applyAlignment="1" applyProtection="1">
      <alignment horizontal="right"/>
      <protection hidden="1"/>
    </xf>
    <xf numFmtId="49" fontId="12" fillId="0" borderId="0" xfId="0" applyNumberFormat="1" applyFont="1" applyAlignment="1" applyProtection="1">
      <alignment vertical="center"/>
      <protection hidden="1"/>
    </xf>
    <xf numFmtId="1" fontId="2" fillId="0" borderId="0" xfId="0" applyNumberFormat="1" applyFont="1" applyAlignment="1" applyProtection="1">
      <alignment horizontal="center"/>
      <protection hidden="1"/>
    </xf>
    <xf numFmtId="49" fontId="2" fillId="0" borderId="0" xfId="0" applyNumberFormat="1" applyFont="1" applyAlignment="1" applyProtection="1">
      <alignment horizontal="right"/>
      <protection hidden="1"/>
    </xf>
    <xf numFmtId="0" fontId="2" fillId="0" borderId="0" xfId="0" applyNumberFormat="1" applyFont="1" applyAlignment="1" applyProtection="1">
      <alignment horizontal="center"/>
      <protection hidden="1"/>
    </xf>
    <xf numFmtId="0" fontId="0" fillId="0" borderId="0" xfId="0" applyFill="1" applyBorder="1" applyAlignment="1" applyProtection="1">
      <alignment vertical="center" wrapText="1"/>
      <protection hidden="1"/>
    </xf>
    <xf numFmtId="0" fontId="2" fillId="0" borderId="0" xfId="0" applyFont="1" applyFill="1" applyBorder="1" applyAlignment="1" applyProtection="1">
      <protection hidden="1"/>
    </xf>
    <xf numFmtId="0" fontId="0" fillId="0" borderId="0" xfId="0" applyFill="1" applyBorder="1" applyAlignment="1" applyProtection="1">
      <protection hidden="1"/>
    </xf>
    <xf numFmtId="2" fontId="0" fillId="0" borderId="0" xfId="0" applyNumberFormat="1" applyFill="1" applyBorder="1" applyAlignment="1" applyProtection="1">
      <alignment horizontal="right" vertical="center" wrapText="1"/>
      <protection hidden="1"/>
    </xf>
    <xf numFmtId="165" fontId="0" fillId="0" borderId="0" xfId="0" applyNumberFormat="1" applyFill="1" applyBorder="1" applyAlignment="1" applyProtection="1">
      <alignment horizontal="right" vertical="center" wrapText="1"/>
      <protection hidden="1"/>
    </xf>
    <xf numFmtId="178" fontId="0" fillId="0" borderId="0" xfId="0" applyNumberFormat="1" applyFill="1" applyBorder="1" applyAlignment="1" applyProtection="1">
      <alignment horizontal="right" vertical="center" wrapText="1"/>
      <protection hidden="1"/>
    </xf>
    <xf numFmtId="176" fontId="0" fillId="0" borderId="0" xfId="0" applyNumberFormat="1" applyFill="1" applyBorder="1" applyAlignment="1" applyProtection="1">
      <alignment horizontal="right" vertical="center" wrapText="1"/>
      <protection hidden="1"/>
    </xf>
    <xf numFmtId="177" fontId="0" fillId="0" borderId="0" xfId="0" applyNumberFormat="1" applyFill="1" applyBorder="1" applyAlignment="1" applyProtection="1">
      <alignment horizontal="right" vertical="center" wrapText="1"/>
      <protection hidden="1"/>
    </xf>
    <xf numFmtId="173" fontId="0" fillId="0" borderId="0" xfId="0" applyNumberFormat="1" applyFill="1" applyBorder="1" applyAlignment="1" applyProtection="1">
      <alignment horizontal="center" vertical="center" wrapText="1"/>
      <protection hidden="1"/>
    </xf>
    <xf numFmtId="0" fontId="0" fillId="0" borderId="0" xfId="0" applyAlignment="1" applyProtection="1">
      <alignment horizontal="left"/>
      <protection hidden="1"/>
    </xf>
    <xf numFmtId="173" fontId="0" fillId="0" borderId="0" xfId="0" applyNumberFormat="1" applyFill="1" applyBorder="1" applyAlignment="1" applyProtection="1">
      <alignment horizontal="right" vertical="center" wrapText="1"/>
      <protection hidden="1"/>
    </xf>
    <xf numFmtId="0" fontId="0" fillId="0" borderId="4" xfId="0" applyFill="1" applyBorder="1" applyAlignment="1" applyProtection="1">
      <protection hidden="1"/>
    </xf>
    <xf numFmtId="0" fontId="9" fillId="0" borderId="5" xfId="0" applyFont="1" applyFill="1" applyBorder="1" applyAlignment="1" applyProtection="1">
      <alignment horizontal="center"/>
      <protection hidden="1"/>
    </xf>
    <xf numFmtId="0" fontId="9" fillId="0" borderId="2" xfId="0" applyFont="1" applyFill="1" applyBorder="1" applyAlignment="1" applyProtection="1">
      <alignment horizontal="center"/>
      <protection hidden="1"/>
    </xf>
    <xf numFmtId="1" fontId="2" fillId="0" borderId="6" xfId="0" applyNumberFormat="1" applyFont="1" applyFill="1" applyBorder="1" applyAlignment="1" applyProtection="1">
      <alignment vertical="center" wrapText="1"/>
      <protection hidden="1"/>
    </xf>
    <xf numFmtId="1" fontId="2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0" fillId="0" borderId="0" xfId="0" applyFill="1" applyBorder="1" applyAlignment="1" applyProtection="1">
      <alignment wrapText="1"/>
      <protection hidden="1"/>
    </xf>
    <xf numFmtId="174" fontId="2" fillId="0" borderId="0" xfId="0" applyNumberFormat="1" applyFont="1" applyFill="1" applyBorder="1" applyAlignment="1" applyProtection="1">
      <alignment horizontal="center"/>
      <protection hidden="1"/>
    </xf>
    <xf numFmtId="0" fontId="0" fillId="0" borderId="0" xfId="0" applyNumberFormat="1" applyFill="1" applyBorder="1" applyAlignment="1" applyProtection="1">
      <alignment horizontal="left"/>
      <protection locked="0" hidden="1"/>
    </xf>
    <xf numFmtId="0" fontId="0" fillId="0" borderId="0" xfId="0" applyFill="1" applyBorder="1" applyAlignment="1" applyProtection="1">
      <alignment horizontal="right"/>
      <protection hidden="1"/>
    </xf>
    <xf numFmtId="2" fontId="0" fillId="0" borderId="0" xfId="0" applyNumberFormat="1" applyFill="1" applyBorder="1" applyAlignment="1" applyProtection="1">
      <alignment horizontal="left" vertical="center" wrapText="1"/>
      <protection hidden="1"/>
    </xf>
    <xf numFmtId="0" fontId="0" fillId="0" borderId="0" xfId="0" applyFill="1" applyBorder="1" applyAlignment="1" applyProtection="1">
      <alignment horizontal="left"/>
      <protection locked="0" hidden="1"/>
    </xf>
    <xf numFmtId="2" fontId="0" fillId="0" borderId="0" xfId="0" applyNumberFormat="1" applyFill="1" applyBorder="1" applyAlignment="1" applyProtection="1">
      <alignment horizontal="left" vertical="center"/>
      <protection hidden="1"/>
    </xf>
    <xf numFmtId="0" fontId="0" fillId="0" borderId="0" xfId="0" applyFill="1" applyBorder="1" applyAlignment="1" applyProtection="1">
      <protection locked="0" hidden="1"/>
    </xf>
    <xf numFmtId="165" fontId="0" fillId="0" borderId="0" xfId="0" applyNumberFormat="1" applyFill="1" applyBorder="1" applyAlignment="1" applyProtection="1">
      <alignment horizontal="left" vertical="center" wrapText="1"/>
      <protection hidden="1"/>
    </xf>
    <xf numFmtId="0" fontId="0" fillId="0" borderId="7" xfId="0" applyFill="1" applyBorder="1" applyAlignment="1" applyProtection="1">
      <protection hidden="1"/>
    </xf>
    <xf numFmtId="178" fontId="0" fillId="0" borderId="7" xfId="0" applyNumberFormat="1" applyFill="1" applyBorder="1" applyAlignment="1" applyProtection="1">
      <alignment horizontal="right" vertical="center" wrapText="1"/>
      <protection hidden="1"/>
    </xf>
    <xf numFmtId="0" fontId="10" fillId="0" borderId="0" xfId="0" applyFont="1" applyBorder="1" applyAlignment="1" applyProtection="1">
      <alignment vertical="center" wrapText="1"/>
    </xf>
    <xf numFmtId="0" fontId="10" fillId="0" borderId="0" xfId="0" applyFont="1" applyFill="1" applyBorder="1" applyAlignment="1" applyProtection="1">
      <alignment vertical="center" wrapText="1"/>
    </xf>
    <xf numFmtId="0" fontId="20" fillId="0" borderId="0" xfId="0" applyFont="1" applyBorder="1" applyAlignment="1" applyProtection="1">
      <alignment vertical="center" wrapText="1"/>
    </xf>
    <xf numFmtId="2" fontId="0" fillId="0" borderId="0" xfId="0" applyNumberFormat="1" applyFill="1" applyBorder="1" applyAlignment="1" applyProtection="1">
      <alignment horizontal="right" vertical="center"/>
      <protection hidden="1"/>
    </xf>
    <xf numFmtId="178" fontId="2" fillId="0" borderId="0" xfId="0" applyNumberFormat="1" applyFont="1" applyFill="1" applyBorder="1" applyAlignment="1" applyProtection="1">
      <alignment horizontal="right" vertical="center" wrapText="1"/>
      <protection hidden="1"/>
    </xf>
    <xf numFmtId="175" fontId="0" fillId="0" borderId="0" xfId="0" applyNumberFormat="1" applyProtection="1"/>
    <xf numFmtId="181" fontId="0" fillId="0" borderId="0" xfId="0" applyNumberFormat="1" applyAlignment="1" applyProtection="1">
      <alignment horizontal="center"/>
      <protection locked="0"/>
    </xf>
    <xf numFmtId="0" fontId="21" fillId="0" borderId="0" xfId="0" applyFont="1" applyProtection="1"/>
    <xf numFmtId="181" fontId="21" fillId="0" borderId="0" xfId="0" applyNumberFormat="1" applyFont="1" applyAlignment="1" applyProtection="1">
      <alignment horizontal="center"/>
      <protection locked="0"/>
    </xf>
    <xf numFmtId="2" fontId="21" fillId="0" borderId="0" xfId="0" applyNumberFormat="1" applyFont="1" applyAlignment="1" applyProtection="1">
      <alignment horizontal="right"/>
    </xf>
    <xf numFmtId="10" fontId="21" fillId="0" borderId="0" xfId="0" applyNumberFormat="1" applyFont="1" applyAlignment="1" applyProtection="1">
      <alignment horizontal="center"/>
    </xf>
    <xf numFmtId="0" fontId="0" fillId="0" borderId="0" xfId="0" applyProtection="1">
      <protection locked="0"/>
    </xf>
    <xf numFmtId="0" fontId="2" fillId="0" borderId="0" xfId="0" applyFont="1" applyProtection="1">
      <protection locked="0"/>
    </xf>
    <xf numFmtId="49" fontId="0" fillId="0" borderId="0" xfId="2" applyNumberFormat="1" applyFont="1" applyAlignment="1" applyProtection="1"/>
    <xf numFmtId="0" fontId="21" fillId="0" borderId="0" xfId="0" applyFont="1" applyProtection="1">
      <protection locked="0"/>
    </xf>
    <xf numFmtId="0" fontId="0" fillId="0" borderId="8" xfId="0" applyBorder="1" applyAlignment="1" applyProtection="1">
      <protection locked="0"/>
    </xf>
    <xf numFmtId="0" fontId="0" fillId="0" borderId="9" xfId="0" applyBorder="1" applyAlignment="1" applyProtection="1">
      <protection locked="0"/>
    </xf>
    <xf numFmtId="49" fontId="21" fillId="0" borderId="0" xfId="0" applyNumberFormat="1" applyFont="1" applyProtection="1"/>
    <xf numFmtId="0" fontId="0" fillId="0" borderId="0" xfId="0" applyBorder="1"/>
    <xf numFmtId="0" fontId="23" fillId="0" borderId="0" xfId="0" applyFont="1" applyBorder="1" applyAlignment="1"/>
    <xf numFmtId="0" fontId="7" fillId="0" borderId="10" xfId="0" applyFont="1" applyBorder="1" applyAlignment="1">
      <alignment horizontal="left"/>
    </xf>
    <xf numFmtId="0" fontId="7" fillId="0" borderId="0" xfId="0" applyFont="1" applyBorder="1" applyAlignment="1">
      <alignment horizontal="left"/>
    </xf>
    <xf numFmtId="0" fontId="0" fillId="0" borderId="11" xfId="0" applyBorder="1"/>
    <xf numFmtId="0" fontId="7" fillId="0" borderId="0" xfId="0" applyFont="1" applyBorder="1" applyAlignment="1"/>
    <xf numFmtId="0" fontId="7" fillId="0" borderId="10" xfId="0" applyFont="1" applyBorder="1" applyAlignment="1"/>
    <xf numFmtId="0" fontId="23" fillId="0" borderId="4" xfId="0" applyFont="1" applyBorder="1" applyAlignment="1"/>
    <xf numFmtId="0" fontId="7" fillId="0" borderId="12" xfId="0" applyFont="1" applyBorder="1"/>
    <xf numFmtId="0" fontId="7" fillId="0" borderId="2" xfId="0" applyFont="1" applyBorder="1"/>
    <xf numFmtId="0" fontId="25" fillId="0" borderId="11" xfId="0" applyFont="1" applyBorder="1" applyAlignment="1"/>
    <xf numFmtId="0" fontId="25" fillId="0" borderId="0" xfId="0" applyFont="1" applyBorder="1" applyAlignment="1"/>
    <xf numFmtId="0" fontId="25" fillId="0" borderId="13" xfId="0" applyFont="1" applyBorder="1" applyAlignment="1"/>
    <xf numFmtId="0" fontId="25" fillId="0" borderId="0" xfId="0" applyFont="1" applyBorder="1"/>
    <xf numFmtId="0" fontId="25" fillId="0" borderId="13" xfId="0" applyFont="1" applyBorder="1"/>
    <xf numFmtId="0" fontId="25" fillId="0" borderId="8" xfId="0" applyFont="1" applyBorder="1"/>
    <xf numFmtId="0" fontId="25" fillId="0" borderId="14" xfId="0" applyFont="1" applyBorder="1" applyAlignment="1"/>
    <xf numFmtId="0" fontId="25" fillId="0" borderId="2" xfId="0" applyFont="1" applyBorder="1" applyAlignment="1"/>
    <xf numFmtId="0" fontId="25" fillId="0" borderId="15" xfId="0" applyFont="1" applyBorder="1" applyAlignment="1"/>
    <xf numFmtId="0" fontId="25" fillId="0" borderId="2" xfId="0" applyFont="1" applyBorder="1"/>
    <xf numFmtId="0" fontId="25" fillId="0" borderId="15" xfId="0" applyFont="1" applyBorder="1"/>
    <xf numFmtId="0" fontId="25" fillId="0" borderId="16" xfId="0" applyFont="1" applyBorder="1"/>
    <xf numFmtId="0" fontId="25" fillId="0" borderId="0" xfId="0" applyFont="1" applyFill="1" applyBorder="1" applyAlignment="1"/>
    <xf numFmtId="0" fontId="25" fillId="0" borderId="17" xfId="0" applyFont="1" applyFill="1" applyBorder="1" applyAlignment="1"/>
    <xf numFmtId="0" fontId="25" fillId="0" borderId="4" xfId="0" applyFont="1" applyFill="1" applyBorder="1" applyAlignment="1"/>
    <xf numFmtId="0" fontId="25" fillId="0" borderId="18" xfId="0" applyFont="1" applyFill="1" applyBorder="1" applyAlignment="1"/>
    <xf numFmtId="0" fontId="25" fillId="0" borderId="19" xfId="0" applyFont="1" applyBorder="1" applyAlignment="1"/>
    <xf numFmtId="0" fontId="25" fillId="0" borderId="14" xfId="0" applyFont="1" applyBorder="1" applyAlignment="1">
      <alignment vertical="center"/>
    </xf>
    <xf numFmtId="0" fontId="25" fillId="0" borderId="2" xfId="0" applyFont="1" applyBorder="1" applyAlignment="1">
      <alignment vertical="center"/>
    </xf>
    <xf numFmtId="0" fontId="25" fillId="0" borderId="20" xfId="0" applyFont="1" applyBorder="1" applyAlignment="1"/>
    <xf numFmtId="0" fontId="25" fillId="0" borderId="21" xfId="0" applyFont="1" applyBorder="1" applyAlignment="1"/>
    <xf numFmtId="0" fontId="25" fillId="0" borderId="6" xfId="0" applyFont="1" applyBorder="1" applyAlignment="1"/>
    <xf numFmtId="0" fontId="25" fillId="0" borderId="22" xfId="0" applyFont="1" applyBorder="1" applyAlignment="1"/>
    <xf numFmtId="0" fontId="25" fillId="0" borderId="20" xfId="0" applyFont="1" applyBorder="1" applyAlignment="1">
      <alignment vertical="center"/>
    </xf>
    <xf numFmtId="0" fontId="25" fillId="0" borderId="11" xfId="0" applyFont="1" applyFill="1" applyBorder="1" applyAlignment="1"/>
    <xf numFmtId="0" fontId="25" fillId="0" borderId="0" xfId="0" applyFont="1"/>
    <xf numFmtId="0" fontId="25" fillId="0" borderId="19" xfId="0" applyFont="1" applyBorder="1"/>
    <xf numFmtId="0" fontId="25" fillId="0" borderId="11" xfId="0" applyFont="1" applyBorder="1"/>
    <xf numFmtId="0" fontId="25" fillId="0" borderId="23" xfId="0" applyFont="1" applyBorder="1" applyAlignment="1"/>
    <xf numFmtId="0" fontId="25" fillId="0" borderId="24" xfId="0" applyFont="1" applyBorder="1" applyAlignment="1"/>
    <xf numFmtId="0" fontId="25" fillId="0" borderId="25" xfId="0" applyFont="1" applyBorder="1" applyAlignment="1"/>
    <xf numFmtId="0" fontId="25" fillId="0" borderId="26" xfId="0" applyFont="1" applyBorder="1" applyAlignment="1"/>
    <xf numFmtId="0" fontId="25" fillId="0" borderId="27" xfId="0" applyFont="1" applyBorder="1" applyAlignment="1"/>
    <xf numFmtId="0" fontId="25" fillId="0" borderId="28" xfId="0" applyFont="1" applyBorder="1" applyAlignment="1"/>
    <xf numFmtId="0" fontId="20" fillId="0" borderId="0" xfId="0" applyFont="1" applyFill="1" applyBorder="1" applyAlignment="1" applyProtection="1">
      <alignment vertical="center" wrapText="1"/>
    </xf>
    <xf numFmtId="0" fontId="21" fillId="0" borderId="16" xfId="0" applyFont="1" applyBorder="1" applyAlignment="1" applyProtection="1">
      <protection locked="0"/>
    </xf>
    <xf numFmtId="0" fontId="21" fillId="0" borderId="29" xfId="0" applyFont="1" applyBorder="1" applyAlignment="1" applyProtection="1">
      <protection locked="0"/>
    </xf>
    <xf numFmtId="0" fontId="21" fillId="0" borderId="0" xfId="0" applyFont="1" applyAlignment="1" applyProtection="1">
      <alignment horizontal="right"/>
    </xf>
    <xf numFmtId="14" fontId="0" fillId="0" borderId="0" xfId="0" applyNumberFormat="1" applyAlignment="1" applyProtection="1">
      <alignment horizontal="center"/>
      <protection locked="0"/>
    </xf>
    <xf numFmtId="0" fontId="21" fillId="0" borderId="0" xfId="0" applyFont="1" applyAlignment="1" applyProtection="1">
      <alignment horizontal="center"/>
      <protection locked="0"/>
    </xf>
    <xf numFmtId="0" fontId="2" fillId="0" borderId="0" xfId="0" applyFont="1" applyAlignment="1">
      <alignment horizontal="center" wrapText="1"/>
    </xf>
    <xf numFmtId="0" fontId="0" fillId="0" borderId="0" xfId="0" applyBorder="1" applyAlignment="1"/>
    <xf numFmtId="0" fontId="12" fillId="0" borderId="0" xfId="0" applyFont="1"/>
    <xf numFmtId="0" fontId="2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right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30" xfId="0" applyBorder="1" applyAlignment="1">
      <alignment horizontal="center"/>
    </xf>
    <xf numFmtId="2" fontId="0" fillId="0" borderId="1" xfId="0" applyNumberFormat="1" applyBorder="1" applyAlignment="1">
      <alignment horizontal="right" indent="1"/>
    </xf>
    <xf numFmtId="182" fontId="0" fillId="0" borderId="1" xfId="0" applyNumberFormat="1" applyBorder="1"/>
    <xf numFmtId="0" fontId="21" fillId="0" borderId="0" xfId="2" applyNumberFormat="1" applyFont="1" applyAlignment="1" applyProtection="1">
      <alignment horizontal="center"/>
      <protection locked="0"/>
    </xf>
    <xf numFmtId="0" fontId="31" fillId="0" borderId="0" xfId="0" applyFont="1"/>
    <xf numFmtId="0" fontId="20" fillId="0" borderId="0" xfId="0" applyFont="1" applyFill="1" applyBorder="1" applyAlignment="1" applyProtection="1">
      <alignment horizontal="center" vertical="center" wrapText="1"/>
    </xf>
    <xf numFmtId="49" fontId="21" fillId="0" borderId="0" xfId="0" applyNumberFormat="1" applyFont="1" applyAlignment="1" applyProtection="1">
      <alignment horizontal="center"/>
      <protection locked="0"/>
    </xf>
    <xf numFmtId="0" fontId="21" fillId="0" borderId="0" xfId="0" applyFont="1" applyAlignment="1" applyProtection="1">
      <alignment vertical="center" wrapText="1"/>
    </xf>
    <xf numFmtId="174" fontId="21" fillId="0" borderId="0" xfId="0" applyNumberFormat="1" applyFont="1" applyFill="1" applyBorder="1" applyAlignment="1" applyProtection="1">
      <alignment horizontal="left"/>
      <protection hidden="1"/>
    </xf>
    <xf numFmtId="171" fontId="2" fillId="0" borderId="0" xfId="0" applyNumberFormat="1" applyFont="1" applyAlignment="1" applyProtection="1">
      <alignment horizontal="center"/>
      <protection hidden="1"/>
    </xf>
    <xf numFmtId="0" fontId="15" fillId="0" borderId="0" xfId="0" applyFont="1" applyAlignment="1" applyProtection="1">
      <alignment vertical="center"/>
    </xf>
    <xf numFmtId="0" fontId="21" fillId="0" borderId="0" xfId="0" applyFont="1" applyFill="1" applyBorder="1" applyAlignment="1" applyProtection="1">
      <alignment vertical="center" wrapText="1"/>
      <protection hidden="1"/>
    </xf>
    <xf numFmtId="0" fontId="21" fillId="0" borderId="0" xfId="0" applyFont="1" applyFill="1" applyBorder="1" applyAlignment="1" applyProtection="1">
      <protection hidden="1"/>
    </xf>
    <xf numFmtId="0" fontId="21" fillId="0" borderId="0" xfId="0" applyFont="1" applyFill="1" applyBorder="1" applyAlignment="1" applyProtection="1">
      <alignment horizontal="left"/>
      <protection hidden="1"/>
    </xf>
    <xf numFmtId="49" fontId="21" fillId="0" borderId="1" xfId="0" applyNumberFormat="1" applyFont="1" applyBorder="1" applyAlignment="1" applyProtection="1">
      <alignment horizontal="center" vertical="center"/>
    </xf>
    <xf numFmtId="0" fontId="0" fillId="4" borderId="0" xfId="0" applyFill="1" applyProtection="1">
      <protection hidden="1"/>
    </xf>
    <xf numFmtId="10" fontId="7" fillId="0" borderId="0" xfId="6" applyNumberFormat="1" applyFont="1" applyFill="1" applyBorder="1" applyAlignment="1" applyProtection="1">
      <alignment horizontal="center" vertical="center" wrapText="1"/>
      <protection hidden="1"/>
    </xf>
    <xf numFmtId="10" fontId="8" fillId="0" borderId="0" xfId="6" applyNumberFormat="1" applyFont="1" applyFill="1" applyBorder="1" applyAlignment="1" applyProtection="1">
      <alignment horizontal="center"/>
      <protection hidden="1"/>
    </xf>
    <xf numFmtId="0" fontId="21" fillId="0" borderId="0" xfId="0" applyFont="1" applyAlignment="1" applyProtection="1">
      <alignment horizontal="center" vertical="center" wrapText="1"/>
    </xf>
    <xf numFmtId="0" fontId="21" fillId="0" borderId="0" xfId="0" applyFont="1" applyAlignment="1" applyProtection="1">
      <alignment horizontal="center"/>
    </xf>
    <xf numFmtId="181" fontId="21" fillId="0" borderId="0" xfId="0" applyNumberFormat="1" applyFont="1" applyProtection="1">
      <protection locked="0"/>
    </xf>
    <xf numFmtId="181" fontId="21" fillId="0" borderId="0" xfId="6" applyNumberFormat="1" applyFont="1" applyProtection="1"/>
    <xf numFmtId="172" fontId="21" fillId="0" borderId="0" xfId="0" applyNumberFormat="1" applyFont="1" applyProtection="1">
      <protection locked="0"/>
    </xf>
    <xf numFmtId="0" fontId="21" fillId="0" borderId="0" xfId="0" applyFont="1" applyAlignment="1" applyProtection="1"/>
    <xf numFmtId="10" fontId="21" fillId="0" borderId="0" xfId="0" applyNumberFormat="1" applyFont="1" applyProtection="1"/>
    <xf numFmtId="9" fontId="21" fillId="0" borderId="0" xfId="0" applyNumberFormat="1" applyFont="1" applyProtection="1"/>
    <xf numFmtId="0" fontId="21" fillId="0" borderId="0" xfId="0" applyFont="1" applyAlignment="1" applyProtection="1">
      <alignment horizontal="left" wrapText="1"/>
    </xf>
    <xf numFmtId="0" fontId="21" fillId="0" borderId="0" xfId="0" applyFont="1" applyAlignment="1" applyProtection="1">
      <alignment horizontal="left"/>
    </xf>
    <xf numFmtId="165" fontId="21" fillId="0" borderId="0" xfId="1" applyFont="1" applyAlignment="1" applyProtection="1">
      <alignment wrapText="1"/>
    </xf>
    <xf numFmtId="171" fontId="21" fillId="0" borderId="0" xfId="0" applyNumberFormat="1" applyFont="1" applyBorder="1" applyAlignment="1" applyProtection="1">
      <protection locked="0"/>
    </xf>
    <xf numFmtId="171" fontId="21" fillId="0" borderId="0" xfId="0" applyNumberFormat="1" applyFont="1" applyBorder="1" applyAlignment="1" applyProtection="1"/>
    <xf numFmtId="0" fontId="21" fillId="0" borderId="0" xfId="0" applyNumberFormat="1" applyFont="1" applyBorder="1" applyAlignment="1" applyProtection="1">
      <alignment horizontal="right"/>
    </xf>
    <xf numFmtId="49" fontId="21" fillId="0" borderId="0" xfId="0" applyNumberFormat="1" applyFont="1" applyBorder="1" applyAlignment="1" applyProtection="1">
      <alignment horizontal="left"/>
      <protection hidden="1"/>
    </xf>
    <xf numFmtId="0" fontId="21" fillId="0" borderId="0" xfId="0" applyNumberFormat="1" applyFont="1" applyBorder="1" applyAlignment="1" applyProtection="1"/>
    <xf numFmtId="0" fontId="21" fillId="0" borderId="0" xfId="0" applyNumberFormat="1" applyFont="1" applyBorder="1" applyAlignment="1" applyProtection="1">
      <alignment horizontal="left"/>
    </xf>
    <xf numFmtId="0" fontId="21" fillId="0" borderId="0" xfId="0" applyNumberFormat="1" applyFont="1" applyProtection="1"/>
    <xf numFmtId="0" fontId="21" fillId="0" borderId="1" xfId="0" applyFont="1" applyBorder="1" applyAlignment="1" applyProtection="1">
      <alignment horizontal="center" vertical="center" textRotation="90"/>
    </xf>
    <xf numFmtId="0" fontId="21" fillId="0" borderId="1" xfId="0" applyFont="1" applyBorder="1" applyAlignment="1" applyProtection="1">
      <alignment horizontal="center" vertical="center"/>
    </xf>
    <xf numFmtId="0" fontId="21" fillId="0" borderId="1" xfId="0" applyFont="1" applyBorder="1" applyAlignment="1" applyProtection="1">
      <alignment horizontal="center"/>
    </xf>
    <xf numFmtId="181" fontId="21" fillId="0" borderId="0" xfId="6" applyNumberFormat="1" applyFont="1" applyAlignment="1" applyProtection="1">
      <alignment vertical="center"/>
    </xf>
    <xf numFmtId="2" fontId="21" fillId="0" borderId="0" xfId="0" applyNumberFormat="1" applyFont="1" applyBorder="1" applyAlignment="1" applyProtection="1">
      <alignment horizontal="right"/>
      <protection hidden="1"/>
    </xf>
    <xf numFmtId="0" fontId="21" fillId="0" borderId="0" xfId="0" applyFont="1" applyAlignment="1" applyProtection="1">
      <alignment horizontal="center"/>
      <protection hidden="1"/>
    </xf>
    <xf numFmtId="10" fontId="21" fillId="0" borderId="0" xfId="0" applyNumberFormat="1" applyFont="1" applyAlignment="1" applyProtection="1">
      <alignment horizontal="center"/>
      <protection locked="0"/>
    </xf>
    <xf numFmtId="10" fontId="21" fillId="0" borderId="0" xfId="0" applyNumberFormat="1" applyFont="1" applyAlignment="1" applyProtection="1">
      <alignment horizontal="center"/>
      <protection hidden="1"/>
    </xf>
    <xf numFmtId="172" fontId="21" fillId="0" borderId="0" xfId="0" applyNumberFormat="1" applyFont="1" applyProtection="1"/>
    <xf numFmtId="0" fontId="2" fillId="0" borderId="0" xfId="0" applyFont="1" applyAlignment="1" applyProtection="1">
      <protection locked="0"/>
    </xf>
    <xf numFmtId="0" fontId="21" fillId="0" borderId="0" xfId="0" applyFont="1" applyAlignment="1" applyProtection="1">
      <alignment horizontal="center" vertical="center"/>
    </xf>
    <xf numFmtId="0" fontId="15" fillId="0" borderId="0" xfId="0" applyFont="1" applyAlignment="1" applyProtection="1">
      <alignment horizontal="center" vertical="center"/>
    </xf>
    <xf numFmtId="49" fontId="16" fillId="0" borderId="0" xfId="0" applyNumberFormat="1" applyFont="1" applyAlignment="1" applyProtection="1">
      <alignment horizontal="right"/>
      <protection hidden="1"/>
    </xf>
    <xf numFmtId="0" fontId="21" fillId="0" borderId="0" xfId="0" applyNumberFormat="1" applyFont="1" applyAlignment="1" applyProtection="1">
      <alignment horizontal="right"/>
    </xf>
    <xf numFmtId="185" fontId="21" fillId="0" borderId="0" xfId="0" applyNumberFormat="1" applyFont="1" applyAlignment="1" applyProtection="1">
      <alignment horizontal="left"/>
    </xf>
    <xf numFmtId="164" fontId="0" fillId="2" borderId="1" xfId="2" applyFont="1" applyFill="1" applyBorder="1" applyProtection="1">
      <protection locked="0"/>
    </xf>
    <xf numFmtId="49" fontId="21" fillId="0" borderId="0" xfId="0" applyNumberFormat="1" applyFont="1" applyAlignment="1" applyProtection="1">
      <alignment horizontal="center"/>
    </xf>
    <xf numFmtId="0" fontId="0" fillId="0" borderId="0" xfId="0" applyFont="1" applyAlignment="1" applyProtection="1">
      <alignment horizontal="left"/>
    </xf>
    <xf numFmtId="0" fontId="35" fillId="0" borderId="0" xfId="0" applyFont="1" applyAlignment="1" applyProtection="1">
      <alignment vertical="center" wrapText="1"/>
    </xf>
    <xf numFmtId="181" fontId="21" fillId="0" borderId="0" xfId="0" applyNumberFormat="1" applyFont="1" applyProtection="1"/>
    <xf numFmtId="10" fontId="21" fillId="0" borderId="0" xfId="6" applyNumberFormat="1" applyFont="1" applyAlignment="1" applyProtection="1">
      <alignment vertical="center" wrapText="1"/>
    </xf>
    <xf numFmtId="10" fontId="21" fillId="0" borderId="0" xfId="6" applyNumberFormat="1" applyFont="1" applyAlignment="1" applyProtection="1">
      <alignment vertical="center"/>
    </xf>
    <xf numFmtId="10" fontId="35" fillId="0" borderId="0" xfId="6" applyNumberFormat="1" applyFont="1" applyAlignment="1" applyProtection="1">
      <alignment vertical="center" wrapText="1"/>
    </xf>
    <xf numFmtId="0" fontId="36" fillId="0" borderId="0" xfId="0" applyFont="1"/>
    <xf numFmtId="0" fontId="37" fillId="0" borderId="0" xfId="0" applyFont="1"/>
    <xf numFmtId="0" fontId="38" fillId="0" borderId="0" xfId="0" applyFont="1"/>
    <xf numFmtId="0" fontId="36" fillId="0" borderId="0" xfId="0" applyFont="1" applyAlignment="1"/>
    <xf numFmtId="0" fontId="36" fillId="0" borderId="2" xfId="0" applyFont="1" applyBorder="1"/>
    <xf numFmtId="0" fontId="0" fillId="0" borderId="0" xfId="0" applyBorder="1" applyAlignment="1" applyProtection="1">
      <alignment horizontal="center"/>
    </xf>
    <xf numFmtId="0" fontId="12" fillId="0" borderId="0" xfId="0" applyFont="1" applyAlignment="1">
      <alignment horizontal="center"/>
    </xf>
    <xf numFmtId="0" fontId="22" fillId="0" borderId="13" xfId="0" applyFont="1" applyBorder="1" applyAlignment="1">
      <alignment horizontal="center" vertical="center"/>
    </xf>
    <xf numFmtId="0" fontId="22" fillId="0" borderId="33" xfId="0" applyFont="1" applyBorder="1" applyAlignment="1">
      <alignment horizontal="center" vertical="center"/>
    </xf>
    <xf numFmtId="0" fontId="22" fillId="0" borderId="2" xfId="0" applyFont="1" applyBorder="1" applyAlignment="1">
      <alignment horizontal="center" vertical="center"/>
    </xf>
    <xf numFmtId="0" fontId="22" fillId="0" borderId="20" xfId="0" applyFont="1" applyBorder="1" applyAlignment="1">
      <alignment horizontal="center" vertical="center"/>
    </xf>
    <xf numFmtId="0" fontId="21" fillId="0" borderId="1" xfId="0" applyFont="1" applyBorder="1" applyAlignment="1">
      <alignment horizontal="center" vertical="center"/>
    </xf>
    <xf numFmtId="0" fontId="0" fillId="0" borderId="0" xfId="0" applyAlignment="1" applyProtection="1">
      <alignment horizontal="right"/>
    </xf>
    <xf numFmtId="0" fontId="2" fillId="0" borderId="2" xfId="0" applyFont="1" applyBorder="1" applyAlignment="1" applyProtection="1">
      <alignment horizontal="right"/>
    </xf>
    <xf numFmtId="2" fontId="0" fillId="0" borderId="2" xfId="0" applyNumberFormat="1" applyBorder="1" applyProtection="1"/>
    <xf numFmtId="178" fontId="21" fillId="0" borderId="0" xfId="0" applyNumberFormat="1" applyFont="1" applyFill="1" applyBorder="1" applyAlignment="1" applyProtection="1">
      <alignment horizontal="right" vertical="center" wrapText="1"/>
      <protection hidden="1"/>
    </xf>
    <xf numFmtId="0" fontId="21" fillId="0" borderId="0" xfId="0" applyFont="1" applyFill="1" applyBorder="1" applyAlignment="1" applyProtection="1">
      <protection locked="0"/>
    </xf>
    <xf numFmtId="0" fontId="39" fillId="0" borderId="0" xfId="0" applyFont="1"/>
    <xf numFmtId="0" fontId="21" fillId="0" borderId="0" xfId="0" applyFont="1"/>
    <xf numFmtId="0" fontId="21" fillId="0" borderId="27" xfId="0" applyFont="1" applyBorder="1"/>
    <xf numFmtId="0" fontId="21" fillId="0" borderId="23" xfId="0" applyFont="1" applyBorder="1"/>
    <xf numFmtId="0" fontId="21" fillId="0" borderId="0" xfId="0" applyFont="1" applyBorder="1"/>
    <xf numFmtId="0" fontId="21" fillId="0" borderId="24" xfId="0" applyFont="1" applyBorder="1"/>
    <xf numFmtId="0" fontId="21" fillId="0" borderId="25" xfId="0" applyFont="1" applyBorder="1"/>
    <xf numFmtId="0" fontId="21" fillId="0" borderId="11" xfId="0" applyFont="1" applyBorder="1"/>
    <xf numFmtId="0" fontId="21" fillId="0" borderId="6" xfId="0" applyFont="1" applyBorder="1"/>
    <xf numFmtId="0" fontId="21" fillId="0" borderId="22" xfId="0" applyFont="1" applyBorder="1"/>
    <xf numFmtId="0" fontId="21" fillId="0" borderId="35" xfId="0" applyFont="1" applyBorder="1"/>
    <xf numFmtId="0" fontId="21" fillId="0" borderId="4" xfId="0" applyFont="1" applyBorder="1"/>
    <xf numFmtId="0" fontId="21" fillId="0" borderId="2" xfId="0" applyFont="1" applyBorder="1"/>
    <xf numFmtId="0" fontId="21" fillId="0" borderId="20" xfId="0" applyFont="1" applyBorder="1"/>
    <xf numFmtId="0" fontId="21" fillId="0" borderId="0" xfId="0" applyFont="1" applyBorder="1" applyAlignment="1" applyProtection="1">
      <alignment vertical="center" wrapText="1"/>
    </xf>
    <xf numFmtId="0" fontId="43" fillId="0" borderId="1" xfId="0" applyFont="1" applyBorder="1" applyProtection="1"/>
    <xf numFmtId="0" fontId="43" fillId="0" borderId="1" xfId="0" applyFont="1" applyBorder="1" applyAlignment="1" applyProtection="1">
      <alignment horizontal="left"/>
      <protection locked="0"/>
    </xf>
    <xf numFmtId="0" fontId="43" fillId="0" borderId="33" xfId="0" applyFont="1" applyFill="1" applyBorder="1" applyAlignment="1" applyProtection="1">
      <alignment horizontal="center"/>
      <protection locked="0"/>
    </xf>
    <xf numFmtId="1" fontId="43" fillId="0" borderId="1" xfId="0" applyNumberFormat="1" applyFont="1" applyFill="1" applyBorder="1" applyAlignment="1" applyProtection="1">
      <alignment horizontal="center"/>
      <protection locked="0"/>
    </xf>
    <xf numFmtId="0" fontId="43" fillId="0" borderId="1" xfId="0" applyFont="1" applyBorder="1" applyAlignment="1" applyProtection="1">
      <alignment horizontal="center"/>
      <protection locked="0"/>
    </xf>
    <xf numFmtId="183" fontId="43" fillId="0" borderId="1" xfId="0" applyNumberFormat="1" applyFont="1" applyBorder="1" applyAlignment="1" applyProtection="1">
      <alignment horizontal="center"/>
      <protection locked="0"/>
    </xf>
    <xf numFmtId="4" fontId="43" fillId="0" borderId="1" xfId="0" applyNumberFormat="1" applyFont="1" applyBorder="1" applyAlignment="1" applyProtection="1">
      <alignment horizontal="right"/>
      <protection locked="0"/>
    </xf>
    <xf numFmtId="2" fontId="43" fillId="0" borderId="1" xfId="0" applyNumberFormat="1" applyFont="1" applyBorder="1" applyAlignment="1" applyProtection="1">
      <alignment horizontal="right"/>
      <protection locked="0"/>
    </xf>
    <xf numFmtId="0" fontId="43" fillId="0" borderId="1" xfId="0" applyFont="1" applyBorder="1" applyAlignment="1" applyProtection="1">
      <alignment horizontal="right"/>
      <protection locked="0"/>
    </xf>
    <xf numFmtId="2" fontId="43" fillId="0" borderId="1" xfId="0" applyNumberFormat="1" applyFont="1" applyBorder="1" applyAlignment="1" applyProtection="1">
      <alignment horizontal="right"/>
      <protection hidden="1"/>
    </xf>
    <xf numFmtId="1" fontId="43" fillId="0" borderId="1" xfId="0" applyNumberFormat="1" applyFont="1" applyBorder="1" applyAlignment="1" applyProtection="1">
      <alignment horizontal="right"/>
      <protection locked="0"/>
    </xf>
    <xf numFmtId="10" fontId="43" fillId="0" borderId="1" xfId="0" applyNumberFormat="1" applyFont="1" applyBorder="1" applyAlignment="1" applyProtection="1">
      <alignment horizontal="right"/>
      <protection hidden="1"/>
    </xf>
    <xf numFmtId="2" fontId="43" fillId="0" borderId="1" xfId="0" applyNumberFormat="1" applyFont="1" applyBorder="1" applyAlignment="1" applyProtection="1">
      <alignment horizontal="right"/>
    </xf>
    <xf numFmtId="2" fontId="43" fillId="0" borderId="1" xfId="0" applyNumberFormat="1" applyFont="1" applyBorder="1" applyAlignment="1" applyProtection="1">
      <alignment horizontal="right"/>
      <protection locked="0" hidden="1"/>
    </xf>
    <xf numFmtId="0" fontId="43" fillId="0" borderId="1" xfId="0" applyFont="1" applyBorder="1" applyAlignment="1" applyProtection="1">
      <alignment horizontal="center" vertical="center" wrapText="1"/>
      <protection locked="0"/>
    </xf>
    <xf numFmtId="0" fontId="43" fillId="0" borderId="0" xfId="0" applyFont="1" applyBorder="1" applyAlignment="1" applyProtection="1">
      <alignment horizontal="center" vertical="center" wrapText="1"/>
    </xf>
    <xf numFmtId="2" fontId="43" fillId="0" borderId="0" xfId="0" applyNumberFormat="1" applyFont="1" applyBorder="1" applyAlignment="1" applyProtection="1">
      <alignment horizontal="right"/>
      <protection hidden="1"/>
    </xf>
    <xf numFmtId="2" fontId="43" fillId="0" borderId="0" xfId="0" applyNumberFormat="1" applyFont="1" applyProtection="1"/>
    <xf numFmtId="0" fontId="43" fillId="0" borderId="0" xfId="0" applyFont="1" applyAlignment="1" applyProtection="1">
      <alignment horizontal="center" vertical="center" textRotation="90"/>
    </xf>
    <xf numFmtId="0" fontId="43" fillId="0" borderId="0" xfId="0" applyFont="1" applyAlignment="1" applyProtection="1">
      <alignment horizontal="center"/>
    </xf>
    <xf numFmtId="0" fontId="43" fillId="0" borderId="0" xfId="0" applyFont="1" applyProtection="1"/>
    <xf numFmtId="0" fontId="43" fillId="0" borderId="1" xfId="0" applyFont="1" applyFill="1" applyBorder="1" applyAlignment="1" applyProtection="1">
      <alignment horizontal="left"/>
      <protection hidden="1"/>
    </xf>
    <xf numFmtId="0" fontId="43" fillId="0" borderId="1" xfId="0" applyFont="1" applyFill="1" applyBorder="1" applyAlignment="1" applyProtection="1">
      <alignment horizontal="center"/>
      <protection hidden="1"/>
    </xf>
    <xf numFmtId="1" fontId="43" fillId="0" borderId="1" xfId="0" applyNumberFormat="1" applyFont="1" applyFill="1" applyBorder="1" applyAlignment="1" applyProtection="1">
      <alignment horizontal="center"/>
      <protection hidden="1"/>
    </xf>
    <xf numFmtId="1" fontId="43" fillId="0" borderId="1" xfId="0" applyNumberFormat="1" applyFont="1" applyBorder="1" applyAlignment="1" applyProtection="1">
      <alignment horizontal="center"/>
      <protection hidden="1"/>
    </xf>
    <xf numFmtId="0" fontId="43" fillId="0" borderId="1" xfId="0" applyFont="1" applyBorder="1" applyAlignment="1" applyProtection="1">
      <alignment horizontal="right"/>
      <protection hidden="1"/>
    </xf>
    <xf numFmtId="2" fontId="43" fillId="0" borderId="36" xfId="0" applyNumberFormat="1" applyFont="1" applyBorder="1" applyAlignment="1" applyProtection="1">
      <alignment horizontal="right"/>
      <protection hidden="1"/>
    </xf>
    <xf numFmtId="1" fontId="43" fillId="0" borderId="36" xfId="0" applyNumberFormat="1" applyFont="1" applyBorder="1" applyAlignment="1" applyProtection="1">
      <alignment horizontal="right"/>
      <protection hidden="1"/>
    </xf>
    <xf numFmtId="0" fontId="43" fillId="0" borderId="36" xfId="0" applyFont="1" applyBorder="1" applyAlignment="1" applyProtection="1">
      <alignment horizontal="right"/>
      <protection hidden="1"/>
    </xf>
    <xf numFmtId="0" fontId="43" fillId="0" borderId="36" xfId="0" applyFont="1" applyBorder="1" applyAlignment="1" applyProtection="1">
      <alignment horizontal="center"/>
      <protection hidden="1"/>
    </xf>
    <xf numFmtId="0" fontId="43" fillId="0" borderId="0" xfId="0" applyFont="1" applyBorder="1" applyAlignment="1" applyProtection="1">
      <alignment horizontal="center"/>
      <protection hidden="1"/>
    </xf>
    <xf numFmtId="0" fontId="43" fillId="0" borderId="0" xfId="0" applyFont="1" applyAlignment="1" applyProtection="1">
      <alignment horizontal="center"/>
      <protection hidden="1"/>
    </xf>
    <xf numFmtId="0" fontId="43" fillId="0" borderId="0" xfId="0" applyFont="1" applyAlignment="1" applyProtection="1">
      <alignment horizontal="center"/>
      <protection locked="0"/>
    </xf>
    <xf numFmtId="0" fontId="43" fillId="0" borderId="0" xfId="0" applyFont="1" applyProtection="1">
      <protection hidden="1"/>
    </xf>
    <xf numFmtId="0" fontId="44" fillId="0" borderId="1" xfId="0" applyFont="1" applyBorder="1" applyProtection="1"/>
    <xf numFmtId="0" fontId="43" fillId="0" borderId="1" xfId="0" applyFont="1" applyBorder="1" applyAlignment="1" applyProtection="1">
      <alignment horizontal="right"/>
    </xf>
    <xf numFmtId="0" fontId="43" fillId="0" borderId="1" xfId="0" applyFont="1" applyFill="1" applyBorder="1" applyAlignment="1" applyProtection="1">
      <alignment horizontal="center"/>
    </xf>
    <xf numFmtId="0" fontId="43" fillId="0" borderId="1" xfId="0" applyFont="1" applyBorder="1" applyAlignment="1" applyProtection="1">
      <alignment horizontal="center"/>
    </xf>
    <xf numFmtId="2" fontId="43" fillId="0" borderId="1" xfId="0" applyNumberFormat="1" applyFont="1" applyBorder="1" applyAlignment="1" applyProtection="1">
      <alignment horizontal="center"/>
    </xf>
    <xf numFmtId="2" fontId="43" fillId="0" borderId="37" xfId="0" applyNumberFormat="1" applyFont="1" applyBorder="1" applyAlignment="1" applyProtection="1">
      <alignment horizontal="right"/>
      <protection hidden="1"/>
    </xf>
    <xf numFmtId="2" fontId="43" fillId="0" borderId="37" xfId="0" applyNumberFormat="1" applyFont="1" applyBorder="1" applyAlignment="1" applyProtection="1">
      <alignment horizontal="center"/>
    </xf>
    <xf numFmtId="2" fontId="43" fillId="0" borderId="37" xfId="0" applyNumberFormat="1" applyFont="1" applyBorder="1" applyAlignment="1" applyProtection="1">
      <alignment horizontal="center"/>
      <protection hidden="1"/>
    </xf>
    <xf numFmtId="0" fontId="43" fillId="0" borderId="37" xfId="0" applyFont="1" applyBorder="1" applyAlignment="1" applyProtection="1">
      <alignment horizontal="center"/>
      <protection hidden="1"/>
    </xf>
    <xf numFmtId="0" fontId="43" fillId="0" borderId="38" xfId="0" applyFont="1" applyBorder="1" applyAlignment="1" applyProtection="1">
      <alignment horizontal="center"/>
      <protection hidden="1"/>
    </xf>
    <xf numFmtId="0" fontId="43" fillId="0" borderId="3" xfId="0" applyFont="1" applyBorder="1" applyAlignment="1" applyProtection="1">
      <alignment horizontal="center"/>
      <protection hidden="1"/>
    </xf>
    <xf numFmtId="2" fontId="43" fillId="0" borderId="3" xfId="0" applyNumberFormat="1" applyFont="1" applyBorder="1" applyAlignment="1" applyProtection="1">
      <alignment horizontal="center"/>
      <protection hidden="1"/>
    </xf>
    <xf numFmtId="0" fontId="43" fillId="0" borderId="3" xfId="0" applyFont="1" applyBorder="1" applyAlignment="1" applyProtection="1">
      <alignment horizontal="center"/>
    </xf>
    <xf numFmtId="2" fontId="43" fillId="0" borderId="0" xfId="0" applyNumberFormat="1" applyFont="1" applyBorder="1" applyAlignment="1" applyProtection="1">
      <alignment horizontal="center"/>
      <protection hidden="1"/>
    </xf>
    <xf numFmtId="0" fontId="43" fillId="0" borderId="1" xfId="0" applyFont="1" applyFill="1" applyBorder="1" applyAlignment="1" applyProtection="1">
      <alignment horizontal="center"/>
      <protection locked="0"/>
    </xf>
    <xf numFmtId="0" fontId="30" fillId="0" borderId="0" xfId="0" applyFont="1"/>
    <xf numFmtId="0" fontId="20" fillId="0" borderId="0" xfId="0" applyFont="1"/>
    <xf numFmtId="0" fontId="30" fillId="0" borderId="0" xfId="0" applyFont="1" applyAlignment="1">
      <alignment horizontal="center"/>
    </xf>
    <xf numFmtId="2" fontId="30" fillId="0" borderId="0" xfId="0" applyNumberFormat="1" applyFont="1"/>
    <xf numFmtId="0" fontId="30" fillId="0" borderId="0" xfId="0" applyFont="1" applyBorder="1"/>
    <xf numFmtId="0" fontId="30" fillId="0" borderId="0" xfId="0" applyFont="1" applyBorder="1" applyAlignment="1">
      <alignment horizontal="center"/>
    </xf>
    <xf numFmtId="2" fontId="30" fillId="0" borderId="0" xfId="0" applyNumberFormat="1" applyFont="1" applyBorder="1"/>
    <xf numFmtId="0" fontId="43" fillId="0" borderId="1" xfId="0" applyFont="1" applyBorder="1" applyAlignment="1" applyProtection="1">
      <alignment horizontal="left"/>
    </xf>
    <xf numFmtId="2" fontId="43" fillId="0" borderId="0" xfId="0" applyNumberFormat="1" applyFont="1" applyBorder="1" applyAlignment="1" applyProtection="1">
      <alignment horizontal="right"/>
    </xf>
    <xf numFmtId="0" fontId="26" fillId="6" borderId="11" xfId="0" applyFont="1" applyFill="1" applyBorder="1" applyAlignment="1">
      <alignment horizontal="left" vertical="center"/>
    </xf>
    <xf numFmtId="0" fontId="26" fillId="6" borderId="0" xfId="0" applyFont="1" applyFill="1" applyBorder="1" applyAlignment="1">
      <alignment horizontal="left" vertical="center"/>
    </xf>
    <xf numFmtId="0" fontId="26" fillId="6" borderId="0" xfId="0" applyFont="1" applyFill="1" applyBorder="1"/>
    <xf numFmtId="0" fontId="25" fillId="6" borderId="0" xfId="0" applyFont="1" applyFill="1" applyBorder="1"/>
    <xf numFmtId="0" fontId="25" fillId="6" borderId="19" xfId="0" applyFont="1" applyFill="1" applyBorder="1"/>
    <xf numFmtId="0" fontId="25" fillId="6" borderId="11" xfId="0" applyFont="1" applyFill="1" applyBorder="1" applyAlignment="1">
      <alignment horizontal="center" vertical="center"/>
    </xf>
    <xf numFmtId="0" fontId="25" fillId="6" borderId="0" xfId="0" applyFont="1" applyFill="1" applyBorder="1" applyAlignment="1">
      <alignment horizontal="center" vertical="center"/>
    </xf>
    <xf numFmtId="0" fontId="25" fillId="6" borderId="0" xfId="0" applyFont="1" applyFill="1" applyBorder="1" applyAlignment="1">
      <alignment vertical="center"/>
    </xf>
    <xf numFmtId="0" fontId="25" fillId="6" borderId="27" xfId="0" applyFont="1" applyFill="1" applyBorder="1" applyAlignment="1"/>
    <xf numFmtId="0" fontId="25" fillId="6" borderId="2" xfId="0" applyFont="1" applyFill="1" applyBorder="1" applyAlignment="1"/>
    <xf numFmtId="0" fontId="25" fillId="6" borderId="20" xfId="0" applyFont="1" applyFill="1" applyBorder="1" applyAlignment="1"/>
    <xf numFmtId="0" fontId="25" fillId="6" borderId="26" xfId="0" applyFont="1" applyFill="1" applyBorder="1" applyAlignment="1"/>
    <xf numFmtId="0" fontId="21" fillId="6" borderId="11" xfId="0" applyFont="1" applyFill="1" applyBorder="1"/>
    <xf numFmtId="0" fontId="21" fillId="6" borderId="0" xfId="0" applyFont="1" applyFill="1" applyBorder="1"/>
    <xf numFmtId="0" fontId="21" fillId="6" borderId="19" xfId="0" applyFont="1" applyFill="1" applyBorder="1"/>
    <xf numFmtId="0" fontId="27" fillId="6" borderId="11" xfId="0" applyFont="1" applyFill="1" applyBorder="1"/>
    <xf numFmtId="0" fontId="27" fillId="6" borderId="0" xfId="0" applyFont="1" applyFill="1" applyBorder="1"/>
    <xf numFmtId="0" fontId="7" fillId="6" borderId="0" xfId="0" applyFont="1" applyFill="1" applyBorder="1"/>
    <xf numFmtId="0" fontId="28" fillId="6" borderId="0" xfId="0" applyFont="1" applyFill="1" applyBorder="1" applyAlignment="1">
      <alignment horizontal="center"/>
    </xf>
    <xf numFmtId="0" fontId="27" fillId="6" borderId="26" xfId="0" applyFont="1" applyFill="1" applyBorder="1"/>
    <xf numFmtId="0" fontId="27" fillId="6" borderId="27" xfId="0" applyFont="1" applyFill="1" applyBorder="1"/>
    <xf numFmtId="0" fontId="7" fillId="6" borderId="27" xfId="0" applyFont="1" applyFill="1" applyBorder="1"/>
    <xf numFmtId="0" fontId="21" fillId="6" borderId="27" xfId="0" applyFont="1" applyFill="1" applyBorder="1"/>
    <xf numFmtId="0" fontId="28" fillId="6" borderId="27" xfId="0" applyFont="1" applyFill="1" applyBorder="1" applyAlignment="1">
      <alignment horizontal="center"/>
    </xf>
    <xf numFmtId="0" fontId="21" fillId="6" borderId="28" xfId="0" applyFont="1" applyFill="1" applyBorder="1"/>
    <xf numFmtId="0" fontId="40" fillId="6" borderId="0" xfId="0" applyFont="1" applyFill="1"/>
    <xf numFmtId="0" fontId="38" fillId="0" borderId="2" xfId="0" applyFont="1" applyBorder="1" applyAlignment="1">
      <alignment horizontal="center"/>
    </xf>
    <xf numFmtId="0" fontId="36" fillId="0" borderId="0" xfId="0" applyFont="1" applyAlignment="1">
      <alignment horizontal="left"/>
    </xf>
    <xf numFmtId="181" fontId="15" fillId="0" borderId="0" xfId="0" applyNumberFormat="1" applyFont="1" applyAlignment="1" applyProtection="1">
      <alignment vertical="center"/>
    </xf>
    <xf numFmtId="181" fontId="51" fillId="0" borderId="0" xfId="0" applyNumberFormat="1" applyFont="1" applyProtection="1">
      <protection locked="0"/>
    </xf>
    <xf numFmtId="10" fontId="1" fillId="0" borderId="0" xfId="6" applyNumberFormat="1" applyFont="1" applyAlignment="1" applyProtection="1">
      <alignment vertical="center"/>
    </xf>
    <xf numFmtId="0" fontId="1" fillId="0" borderId="0" xfId="0" applyFont="1" applyAlignment="1" applyProtection="1">
      <alignment horizontal="right"/>
    </xf>
    <xf numFmtId="0" fontId="52" fillId="0" borderId="30" xfId="0" applyFont="1" applyBorder="1" applyProtection="1">
      <protection hidden="1"/>
    </xf>
    <xf numFmtId="178" fontId="52" fillId="0" borderId="30" xfId="0" applyNumberFormat="1" applyFont="1" applyFill="1" applyBorder="1" applyAlignment="1" applyProtection="1">
      <alignment horizontal="right" vertical="center" wrapText="1"/>
      <protection hidden="1"/>
    </xf>
    <xf numFmtId="0" fontId="2" fillId="0" borderId="55" xfId="0" applyFont="1" applyFill="1" applyBorder="1" applyAlignment="1" applyProtection="1">
      <protection hidden="1"/>
    </xf>
    <xf numFmtId="178" fontId="2" fillId="0" borderId="55" xfId="0" applyNumberFormat="1" applyFont="1" applyFill="1" applyBorder="1" applyAlignment="1" applyProtection="1">
      <alignment horizontal="right" vertical="center" wrapText="1"/>
      <protection hidden="1"/>
    </xf>
    <xf numFmtId="0" fontId="1" fillId="0" borderId="7" xfId="0" applyFont="1" applyFill="1" applyBorder="1" applyAlignment="1" applyProtection="1">
      <protection hidden="1"/>
    </xf>
    <xf numFmtId="0" fontId="45" fillId="6" borderId="41" xfId="0" applyFont="1" applyFill="1" applyBorder="1"/>
    <xf numFmtId="0" fontId="45" fillId="6" borderId="40" xfId="0" applyFont="1" applyFill="1" applyBorder="1"/>
    <xf numFmtId="0" fontId="45" fillId="6" borderId="41" xfId="0" applyFont="1" applyFill="1" applyBorder="1" applyAlignment="1">
      <alignment horizontal="center" vertical="center"/>
    </xf>
    <xf numFmtId="0" fontId="45" fillId="6" borderId="0" xfId="0" applyFont="1" applyFill="1" applyBorder="1" applyAlignment="1">
      <alignment horizontal="center" vertical="center"/>
    </xf>
    <xf numFmtId="0" fontId="45" fillId="6" borderId="19" xfId="0" applyFont="1" applyFill="1" applyBorder="1" applyAlignment="1">
      <alignment horizontal="center" vertical="center"/>
    </xf>
    <xf numFmtId="0" fontId="45" fillId="6" borderId="39" xfId="0" applyFont="1" applyFill="1" applyBorder="1"/>
    <xf numFmtId="0" fontId="45" fillId="6" borderId="25" xfId="0" applyFont="1" applyFill="1" applyBorder="1" applyAlignment="1">
      <alignment horizontal="center" vertical="center"/>
    </xf>
    <xf numFmtId="0" fontId="22" fillId="6" borderId="4" xfId="0" applyFont="1" applyFill="1" applyBorder="1" applyAlignment="1">
      <alignment horizontal="center" vertical="center"/>
    </xf>
    <xf numFmtId="0" fontId="22" fillId="6" borderId="42" xfId="0" applyFont="1" applyFill="1" applyBorder="1" applyAlignment="1">
      <alignment horizontal="center" vertical="center"/>
    </xf>
    <xf numFmtId="0" fontId="22" fillId="6" borderId="43" xfId="0" applyFont="1" applyFill="1" applyBorder="1" applyAlignment="1">
      <alignment horizontal="center" vertical="center"/>
    </xf>
    <xf numFmtId="0" fontId="22" fillId="6" borderId="44" xfId="0" applyFont="1" applyFill="1" applyBorder="1" applyAlignment="1">
      <alignment horizontal="center" vertical="center"/>
    </xf>
    <xf numFmtId="0" fontId="22" fillId="6" borderId="18" xfId="0" applyFont="1" applyFill="1" applyBorder="1" applyAlignment="1">
      <alignment horizontal="center" vertical="center"/>
    </xf>
    <xf numFmtId="0" fontId="22" fillId="0" borderId="24" xfId="0" applyFont="1" applyBorder="1" applyAlignment="1">
      <alignment horizontal="center" vertical="center"/>
    </xf>
    <xf numFmtId="0" fontId="22" fillId="0" borderId="32" xfId="0" applyFont="1" applyBorder="1" applyAlignment="1">
      <alignment horizontal="center" vertical="center"/>
    </xf>
    <xf numFmtId="0" fontId="45" fillId="0" borderId="24" xfId="0" applyFont="1" applyBorder="1" applyAlignment="1">
      <alignment horizontal="center" vertical="center"/>
    </xf>
    <xf numFmtId="0" fontId="45" fillId="0" borderId="32" xfId="0" applyFont="1" applyBorder="1" applyAlignment="1">
      <alignment horizontal="center" vertical="center"/>
    </xf>
    <xf numFmtId="0" fontId="22" fillId="0" borderId="27" xfId="0" applyFont="1" applyBorder="1" applyAlignment="1">
      <alignment horizontal="center" vertical="center"/>
    </xf>
    <xf numFmtId="0" fontId="22" fillId="0" borderId="34" xfId="0" applyFont="1" applyBorder="1" applyAlignment="1">
      <alignment horizontal="center" vertical="center"/>
    </xf>
    <xf numFmtId="0" fontId="45" fillId="6" borderId="41" xfId="0" applyFont="1" applyFill="1" applyBorder="1" applyAlignment="1">
      <alignment vertical="center"/>
    </xf>
    <xf numFmtId="0" fontId="45" fillId="6" borderId="40" xfId="0" applyFont="1" applyFill="1" applyBorder="1" applyAlignment="1">
      <alignment vertical="center"/>
    </xf>
    <xf numFmtId="0" fontId="45" fillId="6" borderId="39" xfId="0" applyFont="1" applyFill="1" applyBorder="1" applyAlignment="1">
      <alignment vertical="center"/>
    </xf>
    <xf numFmtId="186" fontId="38" fillId="0" borderId="0" xfId="0" applyNumberFormat="1" applyFont="1" applyBorder="1" applyAlignment="1">
      <alignment horizontal="center"/>
    </xf>
    <xf numFmtId="0" fontId="36" fillId="0" borderId="0" xfId="0" applyFont="1" applyAlignment="1">
      <alignment wrapText="1"/>
    </xf>
    <xf numFmtId="0" fontId="55" fillId="0" borderId="0" xfId="0" applyFont="1"/>
    <xf numFmtId="0" fontId="54" fillId="0" borderId="0" xfId="0" applyFont="1"/>
    <xf numFmtId="0" fontId="57" fillId="0" borderId="0" xfId="0" applyFont="1"/>
    <xf numFmtId="0" fontId="54" fillId="0" borderId="0" xfId="0" applyFont="1" applyAlignment="1"/>
    <xf numFmtId="0" fontId="56" fillId="0" borderId="0" xfId="0" applyFont="1" applyBorder="1" applyAlignment="1"/>
    <xf numFmtId="0" fontId="58" fillId="0" borderId="0" xfId="0" applyFont="1"/>
    <xf numFmtId="0" fontId="38" fillId="0" borderId="2" xfId="0" applyFont="1" applyBorder="1" applyAlignment="1">
      <alignment horizontal="right"/>
    </xf>
    <xf numFmtId="0" fontId="38" fillId="0" borderId="0" xfId="0" applyFont="1" applyBorder="1" applyAlignment="1">
      <alignment horizontal="center"/>
    </xf>
    <xf numFmtId="0" fontId="38" fillId="0" borderId="30" xfId="0" applyFont="1" applyBorder="1" applyAlignment="1">
      <alignment horizontal="center"/>
    </xf>
    <xf numFmtId="0" fontId="59" fillId="0" borderId="0" xfId="0" applyFont="1"/>
    <xf numFmtId="0" fontId="60" fillId="0" borderId="58" xfId="0" applyFont="1" applyBorder="1" applyAlignment="1">
      <alignment horizontal="left"/>
    </xf>
    <xf numFmtId="2" fontId="57" fillId="0" borderId="45" xfId="0" applyNumberFormat="1" applyFont="1" applyBorder="1"/>
    <xf numFmtId="0" fontId="60" fillId="0" borderId="9" xfId="0" applyFont="1" applyBorder="1" applyAlignment="1">
      <alignment horizontal="left"/>
    </xf>
    <xf numFmtId="0" fontId="60" fillId="0" borderId="9" xfId="0" applyFont="1" applyBorder="1"/>
    <xf numFmtId="0" fontId="60" fillId="0" borderId="17" xfId="0" applyFont="1" applyBorder="1" applyAlignment="1">
      <alignment horizontal="left"/>
    </xf>
    <xf numFmtId="2" fontId="57" fillId="0" borderId="13" xfId="0" applyNumberFormat="1" applyFont="1" applyBorder="1"/>
    <xf numFmtId="0" fontId="60" fillId="0" borderId="8" xfId="0" applyFont="1" applyBorder="1"/>
    <xf numFmtId="0" fontId="60" fillId="0" borderId="8" xfId="0" applyFont="1" applyBorder="1" applyAlignment="1">
      <alignment horizontal="left"/>
    </xf>
    <xf numFmtId="0" fontId="60" fillId="0" borderId="17" xfId="0" applyFont="1" applyBorder="1"/>
    <xf numFmtId="0" fontId="60" fillId="0" borderId="8" xfId="0" applyFont="1" applyFill="1" applyBorder="1"/>
    <xf numFmtId="2" fontId="57" fillId="0" borderId="13" xfId="0" applyNumberFormat="1" applyFont="1" applyFill="1" applyBorder="1"/>
    <xf numFmtId="0" fontId="60" fillId="0" borderId="18" xfId="0" applyFont="1" applyBorder="1"/>
    <xf numFmtId="2" fontId="57" fillId="0" borderId="59" xfId="0" applyNumberFormat="1" applyFont="1" applyBorder="1"/>
    <xf numFmtId="0" fontId="60" fillId="0" borderId="43" xfId="0" applyFont="1" applyBorder="1"/>
    <xf numFmtId="0" fontId="0" fillId="0" borderId="0" xfId="0" applyAlignment="1">
      <alignment horizontal="center"/>
    </xf>
    <xf numFmtId="0" fontId="59" fillId="0" borderId="5" xfId="0" applyFont="1" applyBorder="1" applyAlignment="1">
      <alignment horizontal="center"/>
    </xf>
    <xf numFmtId="1" fontId="57" fillId="0" borderId="6" xfId="0" applyNumberFormat="1" applyFont="1" applyBorder="1" applyAlignment="1">
      <alignment horizontal="center"/>
    </xf>
    <xf numFmtId="10" fontId="57" fillId="0" borderId="0" xfId="7" applyNumberFormat="1" applyFont="1" applyBorder="1" applyAlignment="1">
      <alignment horizontal="center"/>
    </xf>
    <xf numFmtId="187" fontId="59" fillId="0" borderId="0" xfId="0" applyNumberFormat="1" applyFont="1" applyBorder="1" applyAlignment="1">
      <alignment horizontal="center" vertical="center"/>
    </xf>
    <xf numFmtId="0" fontId="59" fillId="0" borderId="0" xfId="0" applyFont="1" applyBorder="1" applyAlignment="1">
      <alignment horizontal="center"/>
    </xf>
    <xf numFmtId="187" fontId="61" fillId="0" borderId="0" xfId="0" applyNumberFormat="1" applyFont="1" applyBorder="1" applyAlignment="1">
      <alignment horizontal="center" vertical="center"/>
    </xf>
    <xf numFmtId="0" fontId="59" fillId="0" borderId="4" xfId="0" applyFont="1" applyBorder="1" applyAlignment="1">
      <alignment horizontal="center"/>
    </xf>
    <xf numFmtId="2" fontId="57" fillId="0" borderId="60" xfId="0" applyNumberFormat="1" applyFont="1" applyBorder="1"/>
    <xf numFmtId="2" fontId="57" fillId="0" borderId="10" xfId="0" applyNumberFormat="1" applyFont="1" applyBorder="1"/>
    <xf numFmtId="2" fontId="57" fillId="0" borderId="12" xfId="0" applyNumberFormat="1" applyFont="1" applyBorder="1"/>
    <xf numFmtId="0" fontId="60" fillId="0" borderId="5" xfId="0" applyFont="1" applyBorder="1" applyAlignment="1">
      <alignment horizontal="right"/>
    </xf>
    <xf numFmtId="49" fontId="1" fillId="0" borderId="0" xfId="0" applyNumberFormat="1" applyFont="1" applyAlignment="1" applyProtection="1">
      <alignment horizontal="center"/>
      <protection locked="0"/>
    </xf>
    <xf numFmtId="187" fontId="57" fillId="0" borderId="0" xfId="0" applyNumberFormat="1" applyFont="1" applyBorder="1" applyAlignment="1">
      <alignment horizontal="center"/>
    </xf>
    <xf numFmtId="0" fontId="62" fillId="0" borderId="2" xfId="0" applyFont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61" fillId="0" borderId="0" xfId="0" applyFont="1" applyAlignment="1">
      <alignment horizontal="right"/>
    </xf>
    <xf numFmtId="0" fontId="64" fillId="0" borderId="0" xfId="0" applyFont="1" applyAlignment="1"/>
    <xf numFmtId="0" fontId="61" fillId="0" borderId="0" xfId="0" applyFont="1" applyAlignment="1">
      <alignment horizontal="left"/>
    </xf>
    <xf numFmtId="0" fontId="0" fillId="0" borderId="0" xfId="0" applyAlignment="1"/>
    <xf numFmtId="0" fontId="64" fillId="0" borderId="0" xfId="0" applyFont="1"/>
    <xf numFmtId="0" fontId="43" fillId="0" borderId="1" xfId="0" applyFont="1" applyBorder="1"/>
    <xf numFmtId="0" fontId="43" fillId="0" borderId="0" xfId="0" applyFont="1" applyBorder="1"/>
    <xf numFmtId="0" fontId="43" fillId="0" borderId="0" xfId="0" applyFont="1"/>
    <xf numFmtId="0" fontId="65" fillId="0" borderId="1" xfId="0" applyFont="1" applyBorder="1" applyAlignment="1">
      <alignment horizontal="center" vertical="center" wrapText="1"/>
    </xf>
    <xf numFmtId="0" fontId="65" fillId="0" borderId="1" xfId="0" applyFont="1" applyBorder="1" applyAlignment="1">
      <alignment horizontal="center" vertical="center"/>
    </xf>
    <xf numFmtId="49" fontId="65" fillId="0" borderId="1" xfId="0" applyNumberFormat="1" applyFont="1" applyBorder="1" applyAlignment="1">
      <alignment horizontal="center" vertical="center" wrapText="1"/>
    </xf>
    <xf numFmtId="2" fontId="65" fillId="0" borderId="1" xfId="0" applyNumberFormat="1" applyFont="1" applyBorder="1" applyAlignment="1">
      <alignment horizontal="center" vertical="center"/>
    </xf>
    <xf numFmtId="0" fontId="66" fillId="0" borderId="0" xfId="0" applyFont="1"/>
    <xf numFmtId="0" fontId="43" fillId="0" borderId="1" xfId="0" applyFont="1" applyBorder="1" applyAlignment="1">
      <alignment horizontal="center"/>
    </xf>
    <xf numFmtId="2" fontId="43" fillId="0" borderId="1" xfId="0" applyNumberFormat="1" applyFont="1" applyBorder="1"/>
    <xf numFmtId="0" fontId="43" fillId="0" borderId="0" xfId="0" applyFont="1" applyBorder="1" applyAlignment="1">
      <alignment horizontal="center"/>
    </xf>
    <xf numFmtId="2" fontId="43" fillId="0" borderId="0" xfId="0" applyNumberFormat="1" applyFont="1" applyBorder="1"/>
    <xf numFmtId="0" fontId="1" fillId="0" borderId="0" xfId="0" applyFont="1" applyFill="1" applyBorder="1" applyAlignment="1" applyProtection="1">
      <protection locked="0"/>
    </xf>
    <xf numFmtId="0" fontId="0" fillId="0" borderId="13" xfId="0" applyBorder="1"/>
    <xf numFmtId="0" fontId="61" fillId="0" borderId="0" xfId="0" applyFont="1"/>
    <xf numFmtId="0" fontId="61" fillId="0" borderId="8" xfId="0" applyFont="1" applyBorder="1"/>
    <xf numFmtId="175" fontId="21" fillId="0" borderId="0" xfId="0" applyNumberFormat="1" applyFont="1" applyAlignment="1" applyProtection="1">
      <alignment horizontal="center"/>
      <protection locked="0"/>
    </xf>
    <xf numFmtId="0" fontId="21" fillId="0" borderId="0" xfId="0" applyFont="1" applyBorder="1" applyAlignment="1" applyProtection="1">
      <alignment horizontal="center"/>
    </xf>
    <xf numFmtId="0" fontId="21" fillId="0" borderId="0" xfId="0" applyFont="1" applyAlignment="1" applyProtection="1">
      <alignment horizontal="center" vertical="center" wrapText="1"/>
    </xf>
    <xf numFmtId="0" fontId="21" fillId="0" borderId="0" xfId="0" applyFont="1" applyAlignment="1" applyProtection="1">
      <alignment horizontal="center" vertical="center"/>
    </xf>
    <xf numFmtId="0" fontId="21" fillId="0" borderId="1" xfId="4" applyFont="1" applyBorder="1" applyAlignment="1" applyProtection="1">
      <alignment horizontal="center" vertical="center" textRotation="90" wrapText="1"/>
    </xf>
    <xf numFmtId="0" fontId="20" fillId="0" borderId="0" xfId="0" applyFont="1" applyFill="1" applyBorder="1" applyAlignment="1" applyProtection="1">
      <alignment horizontal="center" vertical="center" wrapText="1"/>
    </xf>
    <xf numFmtId="0" fontId="21" fillId="0" borderId="0" xfId="0" applyFont="1" applyBorder="1" applyAlignment="1" applyProtection="1">
      <alignment horizontal="center" vertical="center" wrapText="1"/>
    </xf>
    <xf numFmtId="0" fontId="35" fillId="0" borderId="0" xfId="0" applyFont="1" applyAlignment="1" applyProtection="1">
      <alignment horizontal="center" vertical="center" wrapText="1"/>
    </xf>
    <xf numFmtId="0" fontId="10" fillId="0" borderId="0" xfId="0" applyFont="1" applyBorder="1" applyAlignment="1" applyProtection="1">
      <alignment horizontal="center" vertical="center" wrapText="1"/>
    </xf>
    <xf numFmtId="0" fontId="21" fillId="0" borderId="0" xfId="0" applyFont="1" applyAlignment="1" applyProtection="1">
      <alignment horizontal="center" vertical="center" textRotation="90" wrapText="1"/>
    </xf>
    <xf numFmtId="0" fontId="21" fillId="0" borderId="1" xfId="0" applyFont="1" applyBorder="1" applyAlignment="1" applyProtection="1">
      <alignment horizontal="center" vertical="center" textRotation="90" wrapText="1"/>
    </xf>
    <xf numFmtId="0" fontId="21" fillId="0" borderId="36" xfId="0" applyFont="1" applyBorder="1" applyAlignment="1" applyProtection="1">
      <alignment horizontal="left" vertical="center" wrapText="1"/>
    </xf>
    <xf numFmtId="0" fontId="21" fillId="0" borderId="29" xfId="0" applyFont="1" applyBorder="1" applyAlignment="1" applyProtection="1">
      <alignment horizontal="left" vertical="center" wrapText="1"/>
    </xf>
    <xf numFmtId="0" fontId="21" fillId="0" borderId="33" xfId="0" applyFont="1" applyBorder="1" applyAlignment="1" applyProtection="1">
      <alignment horizontal="left" vertical="center" wrapText="1"/>
    </xf>
    <xf numFmtId="0" fontId="21" fillId="0" borderId="1" xfId="0" applyFont="1" applyBorder="1" applyAlignment="1" applyProtection="1">
      <alignment horizontal="center" vertical="center" wrapText="1"/>
    </xf>
    <xf numFmtId="0" fontId="21" fillId="0" borderId="0" xfId="0" applyFont="1" applyAlignment="1" applyProtection="1">
      <alignment horizontal="center"/>
    </xf>
    <xf numFmtId="0" fontId="21" fillId="0" borderId="36" xfId="0" applyFont="1" applyBorder="1" applyAlignment="1" applyProtection="1">
      <alignment horizontal="center" vertical="center" textRotation="90" wrapText="1"/>
    </xf>
    <xf numFmtId="0" fontId="21" fillId="0" borderId="29" xfId="0" applyFont="1" applyBorder="1" applyAlignment="1" applyProtection="1">
      <alignment horizontal="center" vertical="center" textRotation="90" wrapText="1"/>
    </xf>
    <xf numFmtId="0" fontId="1" fillId="0" borderId="0" xfId="0" applyFont="1" applyBorder="1" applyAlignment="1" applyProtection="1">
      <alignment horizontal="center" vertical="center" wrapText="1"/>
    </xf>
    <xf numFmtId="0" fontId="21" fillId="0" borderId="36" xfId="0" applyFont="1" applyBorder="1" applyAlignment="1" applyProtection="1">
      <alignment horizontal="center" vertical="center" textRotation="90"/>
    </xf>
    <xf numFmtId="0" fontId="21" fillId="0" borderId="29" xfId="0" applyFont="1" applyBorder="1" applyAlignment="1" applyProtection="1">
      <alignment horizontal="center" vertical="center" textRotation="90"/>
    </xf>
    <xf numFmtId="0" fontId="21" fillId="0" borderId="33" xfId="0" applyFont="1" applyBorder="1" applyAlignment="1" applyProtection="1">
      <alignment horizontal="center" vertical="center" textRotation="90"/>
    </xf>
    <xf numFmtId="0" fontId="21" fillId="0" borderId="33" xfId="0" applyFont="1" applyBorder="1" applyAlignment="1" applyProtection="1">
      <alignment horizontal="center" vertical="center" textRotation="90" wrapText="1"/>
    </xf>
    <xf numFmtId="0" fontId="21" fillId="0" borderId="9" xfId="0" applyFont="1" applyBorder="1" applyAlignment="1" applyProtection="1">
      <alignment horizontal="center" vertical="center" textRotation="90" wrapText="1"/>
    </xf>
    <xf numFmtId="0" fontId="21" fillId="0" borderId="45" xfId="0" applyFont="1" applyBorder="1" applyAlignment="1" applyProtection="1">
      <alignment horizontal="center" vertical="center" textRotation="90" wrapText="1"/>
    </xf>
    <xf numFmtId="0" fontId="21" fillId="0" borderId="16" xfId="0" applyFont="1" applyBorder="1" applyAlignment="1" applyProtection="1">
      <alignment horizontal="center" vertical="center" textRotation="90" wrapText="1"/>
    </xf>
    <xf numFmtId="0" fontId="21" fillId="0" borderId="15" xfId="0" applyFont="1" applyBorder="1" applyAlignment="1" applyProtection="1">
      <alignment horizontal="center" vertical="center" textRotation="90" wrapText="1"/>
    </xf>
    <xf numFmtId="0" fontId="21" fillId="0" borderId="0" xfId="0" applyFont="1" applyAlignment="1" applyProtection="1">
      <alignment horizontal="center" vertical="center" textRotation="90"/>
    </xf>
    <xf numFmtId="0" fontId="63" fillId="0" borderId="56" xfId="0" applyFont="1" applyBorder="1" applyAlignment="1">
      <alignment horizontal="left" vertical="center"/>
    </xf>
    <xf numFmtId="0" fontId="63" fillId="0" borderId="5" xfId="0" applyFont="1" applyBorder="1" applyAlignment="1">
      <alignment horizontal="left" vertical="center"/>
    </xf>
    <xf numFmtId="1" fontId="62" fillId="0" borderId="5" xfId="0" applyNumberFormat="1" applyFont="1" applyBorder="1" applyAlignment="1">
      <alignment horizontal="center"/>
    </xf>
    <xf numFmtId="1" fontId="62" fillId="0" borderId="57" xfId="0" applyNumberFormat="1" applyFont="1" applyBorder="1" applyAlignment="1">
      <alignment horizontal="center"/>
    </xf>
    <xf numFmtId="0" fontId="0" fillId="0" borderId="0" xfId="0" applyAlignment="1" applyProtection="1">
      <alignment horizontal="left"/>
      <protection hidden="1"/>
    </xf>
    <xf numFmtId="0" fontId="2" fillId="0" borderId="0" xfId="0" applyFont="1" applyAlignment="1" applyProtection="1">
      <alignment horizontal="right" vertical="center"/>
      <protection hidden="1"/>
    </xf>
    <xf numFmtId="0" fontId="2" fillId="0" borderId="0" xfId="0" applyFont="1" applyAlignment="1" applyProtection="1">
      <alignment horizontal="center" vertical="center"/>
      <protection hidden="1"/>
    </xf>
    <xf numFmtId="0" fontId="0" fillId="0" borderId="0" xfId="0" applyFill="1" applyBorder="1" applyAlignment="1" applyProtection="1">
      <alignment horizontal="center"/>
      <protection hidden="1"/>
    </xf>
    <xf numFmtId="165" fontId="2" fillId="0" borderId="0" xfId="0" applyNumberFormat="1" applyFont="1" applyFill="1" applyBorder="1" applyAlignment="1" applyProtection="1">
      <alignment horizontal="left" vertical="center" wrapText="1"/>
      <protection hidden="1"/>
    </xf>
    <xf numFmtId="0" fontId="12" fillId="0" borderId="0" xfId="0" applyFont="1" applyAlignment="1" applyProtection="1">
      <alignment horizontal="center" vertical="center"/>
      <protection hidden="1"/>
    </xf>
    <xf numFmtId="0" fontId="0" fillId="0" borderId="2" xfId="0" applyFill="1" applyBorder="1" applyAlignment="1" applyProtection="1">
      <alignment horizontal="center"/>
      <protection hidden="1"/>
    </xf>
    <xf numFmtId="0" fontId="2" fillId="0" borderId="0" xfId="0" applyNumberFormat="1" applyFont="1" applyFill="1" applyBorder="1" applyAlignment="1" applyProtection="1">
      <alignment horizontal="center" wrapText="1"/>
      <protection hidden="1"/>
    </xf>
    <xf numFmtId="0" fontId="34" fillId="0" borderId="0" xfId="0" applyFont="1" applyFill="1" applyBorder="1" applyAlignment="1" applyProtection="1">
      <alignment horizontal="left" vertical="center" shrinkToFit="1"/>
      <protection hidden="1"/>
    </xf>
    <xf numFmtId="179" fontId="0" fillId="0" borderId="0" xfId="0" applyNumberFormat="1" applyAlignment="1" applyProtection="1">
      <alignment horizontal="left"/>
      <protection hidden="1"/>
    </xf>
    <xf numFmtId="0" fontId="0" fillId="0" borderId="0" xfId="0" applyFill="1" applyBorder="1" applyAlignment="1" applyProtection="1">
      <alignment horizontal="left"/>
      <protection hidden="1"/>
    </xf>
    <xf numFmtId="0" fontId="0" fillId="0" borderId="7" xfId="0" applyFill="1" applyBorder="1" applyAlignment="1" applyProtection="1">
      <alignment horizontal="left"/>
      <protection hidden="1"/>
    </xf>
    <xf numFmtId="183" fontId="0" fillId="0" borderId="0" xfId="0" applyNumberFormat="1" applyFill="1" applyBorder="1" applyAlignment="1" applyProtection="1">
      <alignment horizontal="center" vertical="center" wrapText="1"/>
      <protection locked="0" hidden="1"/>
    </xf>
    <xf numFmtId="0" fontId="21" fillId="0" borderId="0" xfId="0" applyFont="1" applyFill="1" applyBorder="1" applyAlignment="1" applyProtection="1">
      <alignment horizontal="center" vertical="center" wrapText="1"/>
      <protection hidden="1"/>
    </xf>
    <xf numFmtId="0" fontId="0" fillId="0" borderId="0" xfId="0" applyFill="1" applyBorder="1" applyAlignment="1" applyProtection="1">
      <alignment horizontal="center" vertical="center" wrapText="1"/>
      <protection hidden="1"/>
    </xf>
    <xf numFmtId="173" fontId="0" fillId="0" borderId="0" xfId="0" applyNumberFormat="1" applyFill="1" applyBorder="1" applyAlignment="1" applyProtection="1">
      <alignment horizontal="center" vertical="center" wrapText="1"/>
      <protection hidden="1"/>
    </xf>
    <xf numFmtId="0" fontId="14" fillId="0" borderId="0" xfId="0" applyFont="1" applyAlignment="1" applyProtection="1">
      <alignment horizontal="center" vertical="center"/>
    </xf>
    <xf numFmtId="10" fontId="2" fillId="0" borderId="0" xfId="0" applyNumberFormat="1" applyFont="1" applyAlignment="1" applyProtection="1">
      <alignment horizontal="right"/>
    </xf>
    <xf numFmtId="0" fontId="19" fillId="0" borderId="2" xfId="0" applyFont="1" applyBorder="1" applyAlignment="1">
      <alignment horizontal="center"/>
    </xf>
    <xf numFmtId="2" fontId="0" fillId="0" borderId="46" xfId="0" applyNumberFormat="1" applyBorder="1" applyAlignment="1">
      <alignment horizontal="right" indent="1"/>
    </xf>
    <xf numFmtId="2" fontId="0" fillId="0" borderId="31" xfId="0" applyNumberFormat="1" applyBorder="1" applyAlignment="1">
      <alignment horizontal="right" indent="1"/>
    </xf>
    <xf numFmtId="182" fontId="0" fillId="0" borderId="46" xfId="0" applyNumberFormat="1" applyBorder="1" applyAlignment="1">
      <alignment horizontal="center"/>
    </xf>
    <xf numFmtId="182" fontId="0" fillId="0" borderId="31" xfId="0" applyNumberFormat="1" applyBorder="1" applyAlignment="1">
      <alignment horizontal="center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center"/>
    </xf>
    <xf numFmtId="0" fontId="33" fillId="0" borderId="0" xfId="0" applyFont="1" applyAlignment="1">
      <alignment horizontal="left" wrapText="1"/>
    </xf>
    <xf numFmtId="0" fontId="33" fillId="0" borderId="0" xfId="0" applyFont="1" applyAlignment="1">
      <alignment horizontal="left"/>
    </xf>
    <xf numFmtId="0" fontId="32" fillId="0" borderId="0" xfId="0" applyFont="1" applyAlignment="1">
      <alignment horizontal="center" vertical="center" wrapText="1"/>
    </xf>
    <xf numFmtId="49" fontId="12" fillId="0" borderId="9" xfId="0" applyNumberFormat="1" applyFont="1" applyBorder="1" applyAlignment="1">
      <alignment horizontal="center" vertical="center"/>
    </xf>
    <xf numFmtId="0" fontId="12" fillId="0" borderId="6" xfId="0" applyNumberFormat="1" applyFont="1" applyBorder="1" applyAlignment="1">
      <alignment horizontal="center" vertical="center"/>
    </xf>
    <xf numFmtId="0" fontId="12" fillId="0" borderId="45" xfId="0" applyNumberFormat="1" applyFont="1" applyBorder="1" applyAlignment="1">
      <alignment horizontal="center" vertical="center"/>
    </xf>
    <xf numFmtId="0" fontId="12" fillId="0" borderId="16" xfId="0" applyNumberFormat="1" applyFont="1" applyBorder="1" applyAlignment="1">
      <alignment horizontal="center" vertical="center"/>
    </xf>
    <xf numFmtId="0" fontId="12" fillId="0" borderId="2" xfId="0" applyNumberFormat="1" applyFont="1" applyBorder="1" applyAlignment="1">
      <alignment horizontal="center" vertical="center"/>
    </xf>
    <xf numFmtId="0" fontId="12" fillId="0" borderId="15" xfId="0" applyNumberFormat="1" applyFont="1" applyBorder="1" applyAlignment="1">
      <alignment horizontal="center" vertical="center"/>
    </xf>
    <xf numFmtId="0" fontId="12" fillId="0" borderId="0" xfId="0" applyFont="1" applyBorder="1" applyAlignment="1">
      <alignment horizontal="left"/>
    </xf>
    <xf numFmtId="0" fontId="12" fillId="0" borderId="8" xfId="0" applyFont="1" applyBorder="1" applyAlignment="1">
      <alignment horizontal="left" vertical="center" wrapText="1"/>
    </xf>
    <xf numFmtId="0" fontId="12" fillId="0" borderId="0" xfId="0" applyFont="1" applyBorder="1" applyAlignment="1">
      <alignment horizontal="left" vertical="center" wrapText="1"/>
    </xf>
    <xf numFmtId="0" fontId="12" fillId="0" borderId="13" xfId="0" applyFont="1" applyBorder="1" applyAlignment="1">
      <alignment horizontal="left" vertical="center" wrapText="1"/>
    </xf>
    <xf numFmtId="0" fontId="30" fillId="0" borderId="46" xfId="0" applyFont="1" applyBorder="1" applyAlignment="1">
      <alignment horizontal="center"/>
    </xf>
    <xf numFmtId="0" fontId="30" fillId="0" borderId="30" xfId="0" applyFont="1" applyBorder="1" applyAlignment="1">
      <alignment horizontal="center"/>
    </xf>
    <xf numFmtId="0" fontId="30" fillId="0" borderId="31" xfId="0" applyFont="1" applyBorder="1" applyAlignment="1">
      <alignment horizontal="center"/>
    </xf>
    <xf numFmtId="0" fontId="2" fillId="0" borderId="9" xfId="0" applyFont="1" applyBorder="1" applyAlignment="1">
      <alignment horizontal="center" wrapText="1"/>
    </xf>
    <xf numFmtId="0" fontId="2" fillId="0" borderId="6" xfId="0" applyFont="1" applyBorder="1" applyAlignment="1">
      <alignment horizontal="center" wrapText="1"/>
    </xf>
    <xf numFmtId="0" fontId="2" fillId="0" borderId="45" xfId="0" applyFont="1" applyBorder="1" applyAlignment="1">
      <alignment horizontal="center" wrapText="1"/>
    </xf>
    <xf numFmtId="0" fontId="2" fillId="0" borderId="8" xfId="0" applyFont="1" applyBorder="1" applyAlignment="1">
      <alignment horizontal="center" wrapText="1"/>
    </xf>
    <xf numFmtId="0" fontId="2" fillId="0" borderId="0" xfId="0" applyFont="1" applyBorder="1" applyAlignment="1">
      <alignment horizontal="center" wrapText="1"/>
    </xf>
    <xf numFmtId="0" fontId="2" fillId="0" borderId="13" xfId="0" applyFont="1" applyBorder="1" applyAlignment="1">
      <alignment horizontal="center" wrapText="1"/>
    </xf>
    <xf numFmtId="0" fontId="2" fillId="0" borderId="16" xfId="0" applyFont="1" applyBorder="1" applyAlignment="1">
      <alignment horizontal="center" wrapText="1"/>
    </xf>
    <xf numFmtId="0" fontId="2" fillId="0" borderId="2" xfId="0" applyFont="1" applyBorder="1" applyAlignment="1">
      <alignment horizontal="center" wrapText="1"/>
    </xf>
    <xf numFmtId="0" fontId="2" fillId="0" borderId="15" xfId="0" applyFont="1" applyBorder="1" applyAlignment="1">
      <alignment horizontal="center" wrapText="1"/>
    </xf>
    <xf numFmtId="0" fontId="12" fillId="0" borderId="0" xfId="0" applyFont="1" applyBorder="1" applyAlignment="1">
      <alignment horizontal="center" vertical="center"/>
    </xf>
    <xf numFmtId="0" fontId="12" fillId="0" borderId="46" xfId="0" applyFont="1" applyBorder="1" applyAlignment="1">
      <alignment horizontal="center" vertical="center" wrapText="1"/>
    </xf>
    <xf numFmtId="0" fontId="12" fillId="0" borderId="31" xfId="0" applyFont="1" applyBorder="1" applyAlignment="1">
      <alignment horizontal="center" vertical="center" wrapText="1"/>
    </xf>
    <xf numFmtId="49" fontId="30" fillId="0" borderId="46" xfId="0" applyNumberFormat="1" applyFont="1" applyBorder="1" applyAlignment="1">
      <alignment horizontal="center"/>
    </xf>
    <xf numFmtId="49" fontId="30" fillId="0" borderId="30" xfId="0" applyNumberFormat="1" applyFont="1" applyBorder="1" applyAlignment="1">
      <alignment horizontal="center"/>
    </xf>
    <xf numFmtId="49" fontId="30" fillId="0" borderId="31" xfId="0" applyNumberFormat="1" applyFont="1" applyBorder="1" applyAlignment="1">
      <alignment horizontal="center"/>
    </xf>
    <xf numFmtId="166" fontId="0" fillId="0" borderId="0" xfId="0" applyNumberFormat="1" applyAlignment="1" applyProtection="1">
      <alignment horizontal="center"/>
    </xf>
    <xf numFmtId="14" fontId="0" fillId="0" borderId="0" xfId="0" applyNumberFormat="1" applyAlignment="1" applyProtection="1">
      <alignment horizontal="center"/>
    </xf>
    <xf numFmtId="182" fontId="0" fillId="0" borderId="0" xfId="0" applyNumberFormat="1" applyAlignment="1" applyProtection="1">
      <alignment horizontal="center"/>
    </xf>
    <xf numFmtId="0" fontId="2" fillId="0" borderId="0" xfId="0" applyNumberFormat="1" applyFont="1" applyAlignment="1" applyProtection="1">
      <alignment horizontal="center" vertical="center"/>
    </xf>
    <xf numFmtId="2" fontId="0" fillId="0" borderId="8" xfId="0" applyNumberFormat="1" applyBorder="1" applyAlignment="1" applyProtection="1">
      <alignment horizontal="center"/>
      <protection locked="0"/>
    </xf>
    <xf numFmtId="2" fontId="0" fillId="0" borderId="0" xfId="0" applyNumberFormat="1" applyBorder="1" applyAlignment="1" applyProtection="1">
      <alignment horizontal="center"/>
      <protection locked="0"/>
    </xf>
    <xf numFmtId="0" fontId="21" fillId="0" borderId="8" xfId="0" applyFont="1" applyBorder="1" applyAlignment="1" applyProtection="1">
      <alignment horizontal="center" vertical="center"/>
      <protection locked="0"/>
    </xf>
    <xf numFmtId="0" fontId="21" fillId="0" borderId="0" xfId="0" applyFont="1" applyBorder="1" applyAlignment="1" applyProtection="1">
      <alignment horizontal="center" vertical="center"/>
      <protection locked="0"/>
    </xf>
    <xf numFmtId="182" fontId="21" fillId="6" borderId="0" xfId="0" applyNumberFormat="1" applyFont="1" applyFill="1" applyBorder="1" applyAlignment="1">
      <alignment horizontal="center"/>
    </xf>
    <xf numFmtId="0" fontId="22" fillId="0" borderId="25" xfId="0" applyFont="1" applyBorder="1" applyAlignment="1">
      <alignment horizontal="center"/>
    </xf>
    <xf numFmtId="0" fontId="22" fillId="0" borderId="28" xfId="0" applyFont="1" applyBorder="1" applyAlignment="1">
      <alignment horizontal="center"/>
    </xf>
    <xf numFmtId="2" fontId="22" fillId="0" borderId="11" xfId="0" applyNumberFormat="1" applyFont="1" applyBorder="1" applyAlignment="1">
      <alignment horizontal="right"/>
    </xf>
    <xf numFmtId="2" fontId="22" fillId="0" borderId="0" xfId="0" applyNumberFormat="1" applyFont="1" applyBorder="1" applyAlignment="1">
      <alignment horizontal="right"/>
    </xf>
    <xf numFmtId="2" fontId="22" fillId="0" borderId="19" xfId="0" applyNumberFormat="1" applyFont="1" applyBorder="1" applyAlignment="1">
      <alignment horizontal="right"/>
    </xf>
    <xf numFmtId="2" fontId="22" fillId="0" borderId="14" xfId="0" applyNumberFormat="1" applyFont="1" applyBorder="1" applyAlignment="1">
      <alignment horizontal="right"/>
    </xf>
    <xf numFmtId="2" fontId="22" fillId="0" borderId="2" xfId="0" applyNumberFormat="1" applyFont="1" applyBorder="1" applyAlignment="1">
      <alignment horizontal="right"/>
    </xf>
    <xf numFmtId="2" fontId="22" fillId="0" borderId="20" xfId="0" applyNumberFormat="1" applyFont="1" applyBorder="1" applyAlignment="1">
      <alignment horizontal="right"/>
    </xf>
    <xf numFmtId="0" fontId="25" fillId="0" borderId="11" xfId="0" applyFont="1" applyBorder="1" applyAlignment="1">
      <alignment horizontal="left" vertical="center"/>
    </xf>
    <xf numFmtId="0" fontId="25" fillId="0" borderId="0" xfId="0" applyFont="1" applyBorder="1" applyAlignment="1">
      <alignment horizontal="left" vertical="center"/>
    </xf>
    <xf numFmtId="0" fontId="25" fillId="0" borderId="19" xfId="0" applyFont="1" applyBorder="1" applyAlignment="1">
      <alignment horizontal="left" vertical="center"/>
    </xf>
    <xf numFmtId="0" fontId="25" fillId="0" borderId="14" xfId="0" applyFont="1" applyBorder="1" applyAlignment="1">
      <alignment horizontal="left" vertical="center"/>
    </xf>
    <xf numFmtId="0" fontId="25" fillId="0" borderId="2" xfId="0" applyFont="1" applyBorder="1" applyAlignment="1">
      <alignment horizontal="left" vertical="center"/>
    </xf>
    <xf numFmtId="0" fontId="25" fillId="0" borderId="20" xfId="0" applyFont="1" applyBorder="1" applyAlignment="1">
      <alignment horizontal="left" vertical="center"/>
    </xf>
    <xf numFmtId="0" fontId="29" fillId="0" borderId="0" xfId="0" applyFont="1" applyAlignment="1">
      <alignment horizontal="right"/>
    </xf>
    <xf numFmtId="0" fontId="7" fillId="0" borderId="0" xfId="0" applyFont="1" applyBorder="1" applyAlignment="1">
      <alignment horizontal="left"/>
    </xf>
    <xf numFmtId="0" fontId="7" fillId="0" borderId="50" xfId="0" applyFont="1" applyBorder="1" applyAlignment="1">
      <alignment horizontal="left"/>
    </xf>
    <xf numFmtId="0" fontId="24" fillId="0" borderId="0" xfId="0" applyFont="1" applyBorder="1" applyAlignment="1">
      <alignment horizontal="center" vertical="center"/>
    </xf>
    <xf numFmtId="0" fontId="7" fillId="0" borderId="2" xfId="0" applyFont="1" applyBorder="1" applyAlignment="1">
      <alignment horizontal="center"/>
    </xf>
    <xf numFmtId="0" fontId="7" fillId="0" borderId="15" xfId="0" applyFont="1" applyBorder="1" applyAlignment="1">
      <alignment horizontal="center"/>
    </xf>
    <xf numFmtId="0" fontId="23" fillId="0" borderId="0" xfId="0" applyFont="1" applyBorder="1" applyAlignment="1">
      <alignment horizontal="center" vertical="center"/>
    </xf>
    <xf numFmtId="0" fontId="23" fillId="0" borderId="4" xfId="0" applyFont="1" applyBorder="1" applyAlignment="1">
      <alignment horizontal="center"/>
    </xf>
    <xf numFmtId="0" fontId="25" fillId="0" borderId="9" xfId="0" applyFont="1" applyBorder="1" applyAlignment="1">
      <alignment horizontal="center" vertical="center"/>
    </xf>
    <xf numFmtId="0" fontId="25" fillId="0" borderId="6" xfId="0" applyFont="1" applyBorder="1" applyAlignment="1">
      <alignment horizontal="center" vertical="center"/>
    </xf>
    <xf numFmtId="0" fontId="25" fillId="0" borderId="45" xfId="0" applyFont="1" applyBorder="1" applyAlignment="1">
      <alignment horizontal="center" vertical="center"/>
    </xf>
    <xf numFmtId="0" fontId="25" fillId="0" borderId="34" xfId="0" applyFont="1" applyBorder="1" applyAlignment="1">
      <alignment horizontal="center" vertical="center"/>
    </xf>
    <xf numFmtId="0" fontId="25" fillId="0" borderId="27" xfId="0" applyFont="1" applyBorder="1" applyAlignment="1">
      <alignment horizontal="center" vertical="center"/>
    </xf>
    <xf numFmtId="0" fontId="25" fillId="0" borderId="49" xfId="0" applyFont="1" applyBorder="1" applyAlignment="1">
      <alignment horizontal="center" vertical="center"/>
    </xf>
    <xf numFmtId="0" fontId="25" fillId="6" borderId="53" xfId="0" applyFont="1" applyFill="1" applyBorder="1" applyAlignment="1">
      <alignment horizontal="left" vertical="center"/>
    </xf>
    <xf numFmtId="0" fontId="25" fillId="6" borderId="41" xfId="0" applyFont="1" applyFill="1" applyBorder="1" applyAlignment="1">
      <alignment horizontal="left" vertical="center"/>
    </xf>
    <xf numFmtId="0" fontId="25" fillId="6" borderId="54" xfId="0" applyFont="1" applyFill="1" applyBorder="1" applyAlignment="1">
      <alignment horizontal="left" vertical="center"/>
    </xf>
    <xf numFmtId="0" fontId="25" fillId="6" borderId="35" xfId="0" applyFont="1" applyFill="1" applyBorder="1" applyAlignment="1">
      <alignment horizontal="left" vertical="center"/>
    </xf>
    <xf numFmtId="0" fontId="25" fillId="6" borderId="4" xfId="0" applyFont="1" applyFill="1" applyBorder="1" applyAlignment="1">
      <alignment horizontal="left" vertical="center"/>
    </xf>
    <xf numFmtId="0" fontId="25" fillId="6" borderId="44" xfId="0" applyFont="1" applyFill="1" applyBorder="1" applyAlignment="1">
      <alignment horizontal="left" vertical="center"/>
    </xf>
    <xf numFmtId="0" fontId="22" fillId="6" borderId="21" xfId="0" applyFont="1" applyFill="1" applyBorder="1" applyAlignment="1">
      <alignment horizontal="center" vertical="center"/>
    </xf>
    <xf numFmtId="0" fontId="22" fillId="5" borderId="22" xfId="0" applyFont="1" applyFill="1" applyBorder="1" applyAlignment="1">
      <alignment horizontal="center" vertical="center"/>
    </xf>
    <xf numFmtId="0" fontId="22" fillId="5" borderId="26" xfId="0" applyFont="1" applyFill="1" applyBorder="1" applyAlignment="1">
      <alignment horizontal="center" vertical="center"/>
    </xf>
    <xf numFmtId="0" fontId="22" fillId="5" borderId="28" xfId="0" applyFont="1" applyFill="1" applyBorder="1" applyAlignment="1">
      <alignment horizontal="center" vertical="center"/>
    </xf>
    <xf numFmtId="0" fontId="23" fillId="0" borderId="47" xfId="0" applyFont="1" applyFill="1" applyBorder="1" applyAlignment="1">
      <alignment horizontal="center" vertical="center"/>
    </xf>
    <xf numFmtId="0" fontId="23" fillId="0" borderId="48" xfId="0" applyFont="1" applyFill="1" applyBorder="1" applyAlignment="1">
      <alignment horizontal="center" vertical="center"/>
    </xf>
    <xf numFmtId="0" fontId="25" fillId="6" borderId="0" xfId="0" applyFont="1" applyFill="1" applyBorder="1" applyAlignment="1">
      <alignment horizontal="center"/>
    </xf>
    <xf numFmtId="0" fontId="25" fillId="6" borderId="19" xfId="0" applyFont="1" applyFill="1" applyBorder="1" applyAlignment="1">
      <alignment horizontal="center"/>
    </xf>
    <xf numFmtId="0" fontId="23" fillId="0" borderId="51" xfId="0" applyFont="1" applyBorder="1" applyAlignment="1">
      <alignment horizontal="center" vertical="center"/>
    </xf>
    <xf numFmtId="0" fontId="23" fillId="0" borderId="52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/>
    </xf>
    <xf numFmtId="0" fontId="12" fillId="0" borderId="16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15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49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2" fontId="22" fillId="0" borderId="21" xfId="0" applyNumberFormat="1" applyFont="1" applyBorder="1" applyAlignment="1">
      <alignment horizontal="right"/>
    </xf>
    <xf numFmtId="2" fontId="22" fillId="0" borderId="6" xfId="0" applyNumberFormat="1" applyFont="1" applyBorder="1" applyAlignment="1">
      <alignment horizontal="right"/>
    </xf>
    <xf numFmtId="2" fontId="22" fillId="0" borderId="22" xfId="0" applyNumberFormat="1" applyFont="1" applyBorder="1" applyAlignment="1">
      <alignment horizontal="right"/>
    </xf>
    <xf numFmtId="2" fontId="22" fillId="0" borderId="26" xfId="0" applyNumberFormat="1" applyFont="1" applyBorder="1" applyAlignment="1">
      <alignment horizontal="right"/>
    </xf>
    <xf numFmtId="2" fontId="22" fillId="0" borderId="27" xfId="0" applyNumberFormat="1" applyFont="1" applyBorder="1" applyAlignment="1">
      <alignment horizontal="right"/>
    </xf>
    <xf numFmtId="2" fontId="22" fillId="0" borderId="28" xfId="0" applyNumberFormat="1" applyFont="1" applyBorder="1" applyAlignment="1">
      <alignment horizontal="right"/>
    </xf>
    <xf numFmtId="0" fontId="25" fillId="0" borderId="21" xfId="0" applyFont="1" applyBorder="1" applyAlignment="1">
      <alignment horizontal="center" vertical="center"/>
    </xf>
    <xf numFmtId="0" fontId="25" fillId="0" borderId="26" xfId="0" applyFont="1" applyBorder="1" applyAlignment="1">
      <alignment horizontal="center" vertical="center"/>
    </xf>
    <xf numFmtId="0" fontId="36" fillId="0" borderId="2" xfId="0" applyFont="1" applyBorder="1" applyAlignment="1">
      <alignment horizontal="left"/>
    </xf>
    <xf numFmtId="0" fontId="37" fillId="0" borderId="0" xfId="0" applyFont="1" applyAlignment="1">
      <alignment horizontal="right"/>
    </xf>
    <xf numFmtId="0" fontId="41" fillId="0" borderId="0" xfId="0" applyFont="1" applyAlignment="1">
      <alignment horizontal="center"/>
    </xf>
    <xf numFmtId="0" fontId="42" fillId="0" borderId="2" xfId="0" applyFont="1" applyBorder="1" applyAlignment="1">
      <alignment horizontal="left"/>
    </xf>
    <xf numFmtId="0" fontId="36" fillId="0" borderId="0" xfId="0" applyFont="1" applyAlignment="1">
      <alignment horizontal="left"/>
    </xf>
    <xf numFmtId="14" fontId="36" fillId="0" borderId="2" xfId="0" applyNumberFormat="1" applyFont="1" applyBorder="1" applyAlignment="1">
      <alignment horizontal="left"/>
    </xf>
    <xf numFmtId="0" fontId="36" fillId="0" borderId="30" xfId="0" applyFont="1" applyBorder="1" applyAlignment="1">
      <alignment horizontal="left"/>
    </xf>
    <xf numFmtId="0" fontId="36" fillId="0" borderId="0" xfId="0" applyFont="1" applyAlignment="1">
      <alignment horizontal="center"/>
    </xf>
    <xf numFmtId="0" fontId="38" fillId="0" borderId="0" xfId="0" applyFont="1" applyAlignment="1">
      <alignment horizontal="left"/>
    </xf>
    <xf numFmtId="186" fontId="42" fillId="0" borderId="2" xfId="0" applyNumberFormat="1" applyFont="1" applyBorder="1" applyAlignment="1">
      <alignment horizontal="center"/>
    </xf>
    <xf numFmtId="0" fontId="36" fillId="0" borderId="0" xfId="0" applyFont="1" applyAlignment="1">
      <alignment horizontal="right"/>
    </xf>
    <xf numFmtId="0" fontId="36" fillId="0" borderId="0" xfId="0" applyFont="1" applyAlignment="1">
      <alignment horizontal="left" wrapText="1"/>
    </xf>
    <xf numFmtId="0" fontId="62" fillId="0" borderId="2" xfId="0" applyFont="1" applyBorder="1" applyAlignment="1">
      <alignment horizontal="center"/>
    </xf>
    <xf numFmtId="184" fontId="36" fillId="0" borderId="2" xfId="0" applyNumberFormat="1" applyFont="1" applyBorder="1" applyAlignment="1">
      <alignment horizontal="center"/>
    </xf>
    <xf numFmtId="0" fontId="38" fillId="0" borderId="2" xfId="0" applyFont="1" applyBorder="1" applyAlignment="1">
      <alignment horizontal="center"/>
    </xf>
    <xf numFmtId="0" fontId="0" fillId="3" borderId="1" xfId="0" applyFill="1" applyBorder="1" applyAlignment="1" applyProtection="1">
      <alignment horizontal="right"/>
    </xf>
    <xf numFmtId="0" fontId="11" fillId="0" borderId="2" xfId="0" applyFont="1" applyBorder="1" applyAlignment="1" applyProtection="1">
      <alignment horizontal="center"/>
    </xf>
    <xf numFmtId="0" fontId="11" fillId="0" borderId="0" xfId="0" applyFont="1" applyBorder="1" applyAlignment="1" applyProtection="1">
      <alignment horizontal="center"/>
    </xf>
    <xf numFmtId="0" fontId="51" fillId="0" borderId="0" xfId="0" applyFont="1" applyAlignment="1" applyProtection="1">
      <alignment horizontal="right"/>
    </xf>
    <xf numFmtId="0" fontId="2" fillId="0" borderId="0" xfId="0" applyFont="1" applyAlignment="1" applyProtection="1">
      <alignment horizontal="center"/>
    </xf>
    <xf numFmtId="0" fontId="19" fillId="0" borderId="0" xfId="0" applyFont="1" applyAlignment="1" applyProtection="1">
      <alignment horizontal="center" vertical="center"/>
    </xf>
    <xf numFmtId="0" fontId="15" fillId="0" borderId="0" xfId="0" applyFont="1" applyAlignment="1" applyProtection="1">
      <alignment horizontal="right"/>
    </xf>
    <xf numFmtId="0" fontId="21" fillId="0" borderId="0" xfId="0" applyFont="1" applyAlignment="1" applyProtection="1">
      <alignment horizontal="center" wrapText="1"/>
    </xf>
    <xf numFmtId="0" fontId="2" fillId="0" borderId="0" xfId="0" applyFont="1" applyAlignment="1" applyProtection="1">
      <alignment horizontal="center" wrapText="1"/>
    </xf>
    <xf numFmtId="164" fontId="1" fillId="0" borderId="46" xfId="2" applyFont="1" applyBorder="1" applyAlignment="1" applyProtection="1">
      <alignment vertical="center"/>
    </xf>
    <xf numFmtId="164" fontId="1" fillId="0" borderId="30" xfId="2" applyFont="1" applyBorder="1" applyAlignment="1" applyProtection="1">
      <alignment vertical="center"/>
    </xf>
    <xf numFmtId="164" fontId="1" fillId="0" borderId="31" xfId="2" applyFont="1" applyBorder="1" applyAlignment="1" applyProtection="1">
      <alignment vertical="center"/>
    </xf>
  </cellXfs>
  <cellStyles count="9">
    <cellStyle name="Comma" xfId="1" builtinId="3"/>
    <cellStyle name="Currency" xfId="2" builtinId="4"/>
    <cellStyle name="Normal" xfId="0" builtinId="0"/>
    <cellStyle name="Normal 2" xfId="8"/>
    <cellStyle name="Normal 2 2" xfId="3"/>
    <cellStyle name="Normal 3" xfId="4"/>
    <cellStyle name="Normal 3 2" xfId="5"/>
    <cellStyle name="Percent" xfId="6" builtinId="5"/>
    <cellStyle name="Percent 3" xfId="7"/>
  </cellStyles>
  <dxfs count="4">
    <dxf>
      <font>
        <b/>
        <i val="0"/>
        <condense val="0"/>
        <extend val="0"/>
        <color indexed="10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Lines="16" dropStyle="combo" dx="22" fmlaLink="$A$1" fmlaRange="РПВ!$B$8:$B$10" val="0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CheckBox" fmlaLink="$D$30" lockText="1" noThreeD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714375</xdr:colOff>
          <xdr:row>0</xdr:row>
          <xdr:rowOff>38100</xdr:rowOff>
        </xdr:from>
        <xdr:to>
          <xdr:col>6</xdr:col>
          <xdr:colOff>209550</xdr:colOff>
          <xdr:row>0</xdr:row>
          <xdr:rowOff>238125</xdr:rowOff>
        </xdr:to>
        <xdr:sp macro="" textlink="">
          <xdr:nvSpPr>
            <xdr:cNvPr id="3073" name="Drop Dow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295275</xdr:colOff>
          <xdr:row>0</xdr:row>
          <xdr:rowOff>28575</xdr:rowOff>
        </xdr:from>
        <xdr:to>
          <xdr:col>11</xdr:col>
          <xdr:colOff>438150</xdr:colOff>
          <xdr:row>0</xdr:row>
          <xdr:rowOff>247650</xdr:rowOff>
        </xdr:to>
        <xdr:sp macro="" textlink="">
          <xdr:nvSpPr>
            <xdr:cNvPr id="3087" name="Button 15" hidden="1">
              <a:extLst>
                <a:ext uri="{63B3BB69-23CF-44E3-9099-C40C66FF867C}">
                  <a14:compatExt spid="_x0000_s30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bg-BG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Принтирай само един екземпляр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523875</xdr:colOff>
          <xdr:row>0</xdr:row>
          <xdr:rowOff>28575</xdr:rowOff>
        </xdr:from>
        <xdr:to>
          <xdr:col>15</xdr:col>
          <xdr:colOff>247650</xdr:colOff>
          <xdr:row>0</xdr:row>
          <xdr:rowOff>247650</xdr:rowOff>
        </xdr:to>
        <xdr:sp macro="" textlink="">
          <xdr:nvSpPr>
            <xdr:cNvPr id="3088" name="Button 16" hidden="1">
              <a:extLst>
                <a:ext uri="{63B3BB69-23CF-44E3-9099-C40C66FF867C}">
                  <a14:compatExt spid="_x0000_s30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bg-BG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Принтирай двата екземпляра на един лист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38100</xdr:colOff>
          <xdr:row>0</xdr:row>
          <xdr:rowOff>190500</xdr:rowOff>
        </xdr:from>
        <xdr:to>
          <xdr:col>10</xdr:col>
          <xdr:colOff>485775</xdr:colOff>
          <xdr:row>2</xdr:row>
          <xdr:rowOff>123825</xdr:rowOff>
        </xdr:to>
        <xdr:sp macro="" textlink="">
          <xdr:nvSpPr>
            <xdr:cNvPr id="5158" name="Button 38" hidden="1">
              <a:extLst>
                <a:ext uri="{63B3BB69-23CF-44E3-9099-C40C66FF867C}">
                  <a14:compatExt spid="_x0000_s51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bg-BG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Показване на всичко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180975</xdr:colOff>
          <xdr:row>24</xdr:row>
          <xdr:rowOff>142875</xdr:rowOff>
        </xdr:from>
        <xdr:to>
          <xdr:col>5</xdr:col>
          <xdr:colOff>581025</xdr:colOff>
          <xdr:row>27</xdr:row>
          <xdr:rowOff>38100</xdr:rowOff>
        </xdr:to>
        <xdr:sp macro="" textlink="">
          <xdr:nvSpPr>
            <xdr:cNvPr id="17420" name="dood6" hidden="1">
              <a:extLst>
                <a:ext uri="{63B3BB69-23CF-44E3-9099-C40C66FF867C}">
                  <a14:compatExt spid="_x0000_s174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bg-BG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Копирай сумите от ведомостта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352425</xdr:colOff>
          <xdr:row>24</xdr:row>
          <xdr:rowOff>133350</xdr:rowOff>
        </xdr:from>
        <xdr:to>
          <xdr:col>14</xdr:col>
          <xdr:colOff>47625</xdr:colOff>
          <xdr:row>27</xdr:row>
          <xdr:rowOff>28575</xdr:rowOff>
        </xdr:to>
        <xdr:sp macro="" textlink="">
          <xdr:nvSpPr>
            <xdr:cNvPr id="17421" name="Button 13" hidden="1">
              <a:extLst>
                <a:ext uri="{63B3BB69-23CF-44E3-9099-C40C66FF867C}">
                  <a14:compatExt spid="_x0000_s174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bg-BG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Изчисти декларацията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171450</xdr:colOff>
          <xdr:row>27</xdr:row>
          <xdr:rowOff>38100</xdr:rowOff>
        </xdr:from>
        <xdr:to>
          <xdr:col>2</xdr:col>
          <xdr:colOff>1304925</xdr:colOff>
          <xdr:row>29</xdr:row>
          <xdr:rowOff>57150</xdr:rowOff>
        </xdr:to>
        <xdr:sp macro="" textlink="">
          <xdr:nvSpPr>
            <xdr:cNvPr id="17439" name="Button 31" hidden="1">
              <a:extLst>
                <a:ext uri="{63B3BB69-23CF-44E3-9099-C40C66FF867C}">
                  <a14:compatExt spid="_x0000_s174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bg-BG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Печат на Декл. 6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142875</xdr:colOff>
          <xdr:row>27</xdr:row>
          <xdr:rowOff>114300</xdr:rowOff>
        </xdr:from>
        <xdr:to>
          <xdr:col>3</xdr:col>
          <xdr:colOff>1247775</xdr:colOff>
          <xdr:row>29</xdr:row>
          <xdr:rowOff>28575</xdr:rowOff>
        </xdr:to>
        <xdr:sp macro="" textlink="">
          <xdr:nvSpPr>
            <xdr:cNvPr id="17464" name="Check Box 56" hidden="1">
              <a:extLst>
                <a:ext uri="{63B3BB69-23CF-44E3-9099-C40C66FF867C}">
                  <a14:compatExt spid="_x0000_s174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bg-BG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Цветни клетки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504825</xdr:colOff>
          <xdr:row>24</xdr:row>
          <xdr:rowOff>133350</xdr:rowOff>
        </xdr:from>
        <xdr:to>
          <xdr:col>11</xdr:col>
          <xdr:colOff>209550</xdr:colOff>
          <xdr:row>27</xdr:row>
          <xdr:rowOff>28575</xdr:rowOff>
        </xdr:to>
        <xdr:sp macro="" textlink="">
          <xdr:nvSpPr>
            <xdr:cNvPr id="17468" name="dood6" hidden="1">
              <a:extLst>
                <a:ext uri="{63B3BB69-23CF-44E3-9099-C40C66FF867C}">
                  <a14:compatExt spid="_x0000_s174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bg-BG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Попълване на декларацията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66675</xdr:colOff>
          <xdr:row>2</xdr:row>
          <xdr:rowOff>47625</xdr:rowOff>
        </xdr:from>
        <xdr:to>
          <xdr:col>4</xdr:col>
          <xdr:colOff>0</xdr:colOff>
          <xdr:row>4</xdr:row>
          <xdr:rowOff>85725</xdr:rowOff>
        </xdr:to>
        <xdr:sp macro="" textlink="">
          <xdr:nvSpPr>
            <xdr:cNvPr id="16385" name="Object 1" hidden="1">
              <a:extLst>
                <a:ext uri="{63B3BB69-23CF-44E3-9099-C40C66FF867C}">
                  <a14:compatExt spid="_x0000_s163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66675</xdr:colOff>
          <xdr:row>38</xdr:row>
          <xdr:rowOff>104775</xdr:rowOff>
        </xdr:from>
        <xdr:to>
          <xdr:col>4</xdr:col>
          <xdr:colOff>0</xdr:colOff>
          <xdr:row>41</xdr:row>
          <xdr:rowOff>9525</xdr:rowOff>
        </xdr:to>
        <xdr:sp macro="" textlink="">
          <xdr:nvSpPr>
            <xdr:cNvPr id="16386" name="Object 2" hidden="1">
              <a:extLst>
                <a:ext uri="{63B3BB69-23CF-44E3-9099-C40C66FF867C}">
                  <a14:compatExt spid="_x0000_s163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95250</xdr:colOff>
          <xdr:row>0</xdr:row>
          <xdr:rowOff>57150</xdr:rowOff>
        </xdr:from>
        <xdr:to>
          <xdr:col>14</xdr:col>
          <xdr:colOff>0</xdr:colOff>
          <xdr:row>2</xdr:row>
          <xdr:rowOff>180975</xdr:rowOff>
        </xdr:to>
        <xdr:sp macro="" textlink="">
          <xdr:nvSpPr>
            <xdr:cNvPr id="19457" name="Button 1" hidden="1">
              <a:extLst>
                <a:ext uri="{63B3BB69-23CF-44E3-9099-C40C66FF867C}">
                  <a14:compatExt spid="_x0000_s194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bg-BG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Попълни данни от Декл. 6 и от ведомостта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114300</xdr:colOff>
          <xdr:row>3</xdr:row>
          <xdr:rowOff>57150</xdr:rowOff>
        </xdr:from>
        <xdr:to>
          <xdr:col>14</xdr:col>
          <xdr:colOff>0</xdr:colOff>
          <xdr:row>6</xdr:row>
          <xdr:rowOff>76200</xdr:rowOff>
        </xdr:to>
        <xdr:sp macro="" textlink="">
          <xdr:nvSpPr>
            <xdr:cNvPr id="19458" name="Button 2" hidden="1">
              <a:extLst>
                <a:ext uri="{63B3BB69-23CF-44E3-9099-C40C66FF867C}">
                  <a14:compatExt spid="_x0000_s194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bg-BG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Изчистване на протокола (ВСИЧКО)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123825</xdr:colOff>
          <xdr:row>7</xdr:row>
          <xdr:rowOff>0</xdr:rowOff>
        </xdr:from>
        <xdr:to>
          <xdr:col>14</xdr:col>
          <xdr:colOff>0</xdr:colOff>
          <xdr:row>9</xdr:row>
          <xdr:rowOff>123825</xdr:rowOff>
        </xdr:to>
        <xdr:sp macro="" textlink="">
          <xdr:nvSpPr>
            <xdr:cNvPr id="19459" name="Button 3" hidden="1">
              <a:extLst>
                <a:ext uri="{63B3BB69-23CF-44E3-9099-C40C66FF867C}">
                  <a14:compatExt spid="_x0000_s194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bg-BG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Изчистване на протокола</a:t>
              </a:r>
            </a:p>
            <a:p>
              <a:pPr algn="ctr" rtl="0">
                <a:defRPr sz="1000"/>
              </a:pPr>
              <a:r>
                <a:rPr lang="bg-BG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(без пълномощно)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114300</xdr:colOff>
          <xdr:row>10</xdr:row>
          <xdr:rowOff>28575</xdr:rowOff>
        </xdr:from>
        <xdr:to>
          <xdr:col>14</xdr:col>
          <xdr:colOff>0</xdr:colOff>
          <xdr:row>12</xdr:row>
          <xdr:rowOff>66675</xdr:rowOff>
        </xdr:to>
        <xdr:sp macro="" textlink="">
          <xdr:nvSpPr>
            <xdr:cNvPr id="19460" name="Button 4" hidden="1">
              <a:extLst>
                <a:ext uri="{63B3BB69-23CF-44E3-9099-C40C66FF867C}">
                  <a14:compatExt spid="_x0000_s194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bg-BG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Принтиране на 2 копия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276225</xdr:colOff>
          <xdr:row>37</xdr:row>
          <xdr:rowOff>323850</xdr:rowOff>
        </xdr:from>
        <xdr:to>
          <xdr:col>3</xdr:col>
          <xdr:colOff>571500</xdr:colOff>
          <xdr:row>39</xdr:row>
          <xdr:rowOff>38100</xdr:rowOff>
        </xdr:to>
        <xdr:sp macro="" textlink="">
          <xdr:nvSpPr>
            <xdr:cNvPr id="19461" name="Check Box 5" hidden="1">
              <a:extLst>
                <a:ext uri="{63B3BB69-23CF-44E3-9099-C40C66FF867C}">
                  <a14:compatExt spid="_x0000_s194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238125</xdr:colOff>
          <xdr:row>37</xdr:row>
          <xdr:rowOff>323850</xdr:rowOff>
        </xdr:from>
        <xdr:to>
          <xdr:col>9</xdr:col>
          <xdr:colOff>190500</xdr:colOff>
          <xdr:row>39</xdr:row>
          <xdr:rowOff>57150</xdr:rowOff>
        </xdr:to>
        <xdr:sp macro="" textlink="">
          <xdr:nvSpPr>
            <xdr:cNvPr id="19463" name="Check Box 7" hidden="1">
              <a:extLst>
                <a:ext uri="{63B3BB69-23CF-44E3-9099-C40C66FF867C}">
                  <a14:compatExt spid="_x0000_s194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dekl16-v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nni"/>
      <sheetName val="dekl1"/>
      <sheetName val="dekl6"/>
      <sheetName val="spravka"/>
    </sheetNames>
    <sheetDataSet>
      <sheetData sheetId="0">
        <row r="1">
          <cell r="C1" t="str">
            <v>D:\My Documents\TROX site</v>
          </cell>
        </row>
        <row r="3">
          <cell r="C3">
            <v>2</v>
          </cell>
        </row>
      </sheetData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7" Type="http://schemas.openxmlformats.org/officeDocument/2006/relationships/comments" Target="../comments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Relationship Id="rId4" Type="http://schemas.openxmlformats.org/officeDocument/2006/relationships/ctrlProp" Target="../ctrlProps/ctrlProp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9.xml"/><Relationship Id="rId3" Type="http://schemas.openxmlformats.org/officeDocument/2006/relationships/vmlDrawing" Target="../drawings/vmlDrawing5.vml"/><Relationship Id="rId7" Type="http://schemas.openxmlformats.org/officeDocument/2006/relationships/ctrlProp" Target="../ctrlProps/ctrlProp8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Relationship Id="rId6" Type="http://schemas.openxmlformats.org/officeDocument/2006/relationships/ctrlProp" Target="../ctrlProps/ctrlProp7.xml"/><Relationship Id="rId5" Type="http://schemas.openxmlformats.org/officeDocument/2006/relationships/ctrlProp" Target="../ctrlProps/ctrlProp6.xml"/><Relationship Id="rId4" Type="http://schemas.openxmlformats.org/officeDocument/2006/relationships/ctrlProp" Target="../ctrlProps/ctrlProp5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8.bin"/><Relationship Id="rId6" Type="http://schemas.openxmlformats.org/officeDocument/2006/relationships/oleObject" Target="../embeddings/oleObject2.bin"/><Relationship Id="rId5" Type="http://schemas.openxmlformats.org/officeDocument/2006/relationships/image" Target="../media/image2.emf"/><Relationship Id="rId4" Type="http://schemas.openxmlformats.org/officeDocument/2006/relationships/oleObject" Target="../embeddings/oleObject1.bin"/></Relationships>
</file>

<file path=xl/worksheets/_rels/sheet9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4.xml"/><Relationship Id="rId3" Type="http://schemas.openxmlformats.org/officeDocument/2006/relationships/vmlDrawing" Target="../drawings/vmlDrawing8.vml"/><Relationship Id="rId7" Type="http://schemas.openxmlformats.org/officeDocument/2006/relationships/ctrlProp" Target="../ctrlProps/ctrlProp13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9.bin"/><Relationship Id="rId6" Type="http://schemas.openxmlformats.org/officeDocument/2006/relationships/ctrlProp" Target="../ctrlProps/ctrlProp12.xml"/><Relationship Id="rId5" Type="http://schemas.openxmlformats.org/officeDocument/2006/relationships/ctrlProp" Target="../ctrlProps/ctrlProp11.xml"/><Relationship Id="rId4" Type="http://schemas.openxmlformats.org/officeDocument/2006/relationships/ctrlProp" Target="../ctrlProps/ctrlProp10.xml"/><Relationship Id="rId9" Type="http://schemas.openxmlformats.org/officeDocument/2006/relationships/ctrlProp" Target="../ctrlProps/ctrlProp15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pageSetUpPr fitToPage="1"/>
  </sheetPr>
  <dimension ref="A1:IS55"/>
  <sheetViews>
    <sheetView tabSelected="1" zoomScale="80" zoomScaleNormal="80" workbookViewId="0">
      <pane xSplit="3" ySplit="7" topLeftCell="N8" activePane="bottomRight" state="frozen"/>
      <selection pane="topRight" activeCell="D1" sqref="D1"/>
      <selection pane="bottomLeft" activeCell="A8" sqref="A8"/>
      <selection pane="bottomRight" activeCell="B8" sqref="B8"/>
    </sheetView>
  </sheetViews>
  <sheetFormatPr defaultRowHeight="12.75" outlineLevelCol="1" x14ac:dyDescent="0.2"/>
  <cols>
    <col min="1" max="1" width="4" style="87" customWidth="1"/>
    <col min="2" max="2" width="37.28515625" style="87" customWidth="1"/>
    <col min="3" max="3" width="2.85546875" style="87" customWidth="1"/>
    <col min="4" max="4" width="6.140625" style="87" customWidth="1"/>
    <col min="5" max="5" width="20.42578125" style="87" customWidth="1"/>
    <col min="6" max="6" width="3.85546875" style="87" customWidth="1"/>
    <col min="7" max="7" width="11.85546875" style="87" customWidth="1"/>
    <col min="8" max="9" width="9.85546875" style="87" customWidth="1"/>
    <col min="10" max="11" width="3.5703125" style="87" customWidth="1"/>
    <col min="12" max="12" width="10.7109375" style="87" customWidth="1"/>
    <col min="13" max="14" width="3.5703125" style="87" customWidth="1"/>
    <col min="15" max="15" width="8.7109375" style="87" customWidth="1"/>
    <col min="16" max="16" width="8.5703125" style="87" customWidth="1"/>
    <col min="17" max="18" width="8.42578125" style="87" customWidth="1"/>
    <col min="19" max="19" width="3.5703125" style="87" customWidth="1"/>
    <col min="20" max="21" width="9.140625" style="87"/>
    <col min="22" max="22" width="10.140625" style="87" customWidth="1"/>
    <col min="23" max="24" width="4.28515625" style="87" customWidth="1"/>
    <col min="25" max="25" width="7.42578125" style="87" customWidth="1"/>
    <col min="26" max="26" width="10" style="87" customWidth="1"/>
    <col min="27" max="27" width="9.5703125" style="87" customWidth="1"/>
    <col min="28" max="28" width="9" style="87" customWidth="1"/>
    <col min="29" max="29" width="7.42578125" style="87" customWidth="1"/>
    <col min="30" max="30" width="7.7109375" style="87" hidden="1" customWidth="1"/>
    <col min="31" max="31" width="7.5703125" style="87" hidden="1" customWidth="1"/>
    <col min="32" max="33" width="7.5703125" style="87" customWidth="1"/>
    <col min="34" max="34" width="8.140625" style="87" customWidth="1"/>
    <col min="35" max="35" width="8.5703125" style="87" customWidth="1"/>
    <col min="36" max="36" width="9.5703125" style="87" customWidth="1"/>
    <col min="37" max="37" width="8.42578125" style="87" customWidth="1"/>
    <col min="38" max="39" width="8" style="87" customWidth="1"/>
    <col min="40" max="40" width="9.5703125" style="87" customWidth="1"/>
    <col min="41" max="41" width="10" style="87" customWidth="1"/>
    <col min="42" max="42" width="9.42578125" style="87" customWidth="1"/>
    <col min="43" max="43" width="9.28515625" style="87" customWidth="1"/>
    <col min="44" max="44" width="9.85546875" style="87" customWidth="1"/>
    <col min="45" max="45" width="40" style="87" customWidth="1"/>
    <col min="46" max="48" width="13.5703125" style="87" customWidth="1"/>
    <col min="49" max="49" width="11.5703125" style="87" customWidth="1"/>
    <col min="50" max="50" width="9.7109375" style="87" customWidth="1"/>
    <col min="51" max="51" width="23.28515625" style="87" bestFit="1" customWidth="1"/>
    <col min="52" max="52" width="18.42578125" style="87" customWidth="1"/>
    <col min="53" max="53" width="10.7109375" style="87" bestFit="1" customWidth="1"/>
    <col min="54" max="55" width="9.28515625" style="87" hidden="1" customWidth="1" outlineLevel="1"/>
    <col min="56" max="56" width="10.28515625" style="87" hidden="1" customWidth="1" outlineLevel="1"/>
    <col min="57" max="57" width="10" style="87" hidden="1" customWidth="1" outlineLevel="1"/>
    <col min="58" max="58" width="9" style="87" hidden="1" customWidth="1" outlineLevel="1"/>
    <col min="59" max="60" width="9.140625" style="87" hidden="1" customWidth="1" outlineLevel="1"/>
    <col min="61" max="61" width="11.7109375" style="87" hidden="1" customWidth="1" outlineLevel="1"/>
    <col min="62" max="86" width="9.140625" style="87" hidden="1" customWidth="1" outlineLevel="1"/>
    <col min="87" max="88" width="18.5703125" style="87" hidden="1" customWidth="1" outlineLevel="1"/>
    <col min="89" max="89" width="13.85546875" style="87" hidden="1" customWidth="1" outlineLevel="1"/>
    <col min="90" max="90" width="3.28515625" style="87" customWidth="1" collapsed="1"/>
    <col min="91" max="100" width="11.140625" style="87" hidden="1" customWidth="1" outlineLevel="1"/>
    <col min="101" max="110" width="9.140625" style="87" hidden="1" customWidth="1" outlineLevel="1"/>
    <col min="111" max="111" width="11.85546875" style="87" hidden="1" customWidth="1" outlineLevel="1"/>
    <col min="112" max="122" width="9.140625" style="87" hidden="1" customWidth="1" outlineLevel="1"/>
    <col min="123" max="123" width="3.28515625" style="87" customWidth="1" collapsed="1"/>
    <col min="124" max="157" width="9.140625" style="87" hidden="1" customWidth="1" outlineLevel="1"/>
    <col min="158" max="158" width="9" style="87" hidden="1" customWidth="1" outlineLevel="1"/>
    <col min="159" max="159" width="3.42578125" style="87" customWidth="1" collapsed="1"/>
    <col min="160" max="160" width="13.28515625" style="174" customWidth="1"/>
    <col min="161" max="16384" width="9.140625" style="87"/>
  </cols>
  <sheetData>
    <row r="1" spans="1:160" ht="26.25" customHeight="1" x14ac:dyDescent="0.2">
      <c r="S1" s="183"/>
      <c r="T1" s="183"/>
      <c r="U1" s="183"/>
      <c r="V1" s="183"/>
      <c r="AT1" s="433" t="s">
        <v>109</v>
      </c>
      <c r="AU1" s="433"/>
      <c r="AV1" s="433"/>
      <c r="AW1" s="433"/>
      <c r="AX1" s="433"/>
      <c r="AY1" s="433"/>
      <c r="AZ1" s="433"/>
      <c r="BA1" s="433"/>
      <c r="BB1" s="80">
        <v>1</v>
      </c>
      <c r="BC1" s="80">
        <v>1</v>
      </c>
      <c r="BD1" s="82" t="s">
        <v>137</v>
      </c>
      <c r="BE1" s="82" t="s">
        <v>137</v>
      </c>
      <c r="BF1" s="82" t="s">
        <v>136</v>
      </c>
      <c r="BG1" s="82" t="s">
        <v>135</v>
      </c>
      <c r="BH1" s="82" t="s">
        <v>135</v>
      </c>
      <c r="BI1" s="80">
        <v>2</v>
      </c>
      <c r="BJ1" s="80">
        <v>2</v>
      </c>
      <c r="BK1" s="80"/>
      <c r="BL1" s="80"/>
      <c r="BM1" s="80">
        <v>3</v>
      </c>
      <c r="BN1" s="80">
        <v>3</v>
      </c>
      <c r="BO1" s="80"/>
      <c r="BP1" s="80"/>
      <c r="BQ1" s="80">
        <v>4</v>
      </c>
      <c r="BR1" s="80" t="s">
        <v>134</v>
      </c>
      <c r="BS1" s="81">
        <v>5</v>
      </c>
      <c r="BT1" s="81">
        <v>5</v>
      </c>
      <c r="BU1" s="81">
        <v>6</v>
      </c>
      <c r="BV1" s="81">
        <v>6</v>
      </c>
      <c r="BW1" s="81">
        <v>7</v>
      </c>
      <c r="BX1" s="81">
        <v>7</v>
      </c>
      <c r="BY1" s="81">
        <v>8</v>
      </c>
      <c r="BZ1" s="81">
        <v>8</v>
      </c>
      <c r="CA1" s="81">
        <v>9</v>
      </c>
      <c r="CB1" s="81">
        <v>9</v>
      </c>
      <c r="CC1" s="82" t="s">
        <v>137</v>
      </c>
      <c r="CD1" s="82" t="s">
        <v>137</v>
      </c>
      <c r="CE1" s="82" t="s">
        <v>137</v>
      </c>
      <c r="CF1" s="82" t="s">
        <v>137</v>
      </c>
      <c r="CG1" s="82" t="s">
        <v>137</v>
      </c>
      <c r="CH1" s="82" t="s">
        <v>137</v>
      </c>
      <c r="CI1" s="142" t="s">
        <v>215</v>
      </c>
      <c r="CJ1" s="142" t="s">
        <v>215</v>
      </c>
      <c r="CK1" s="160" t="s">
        <v>256</v>
      </c>
      <c r="CL1" s="160"/>
      <c r="CM1" s="430" t="s">
        <v>280</v>
      </c>
      <c r="CN1" s="430"/>
      <c r="CO1" s="430"/>
      <c r="CP1" s="430"/>
      <c r="CQ1" s="430"/>
      <c r="CR1" s="430"/>
      <c r="CS1" s="430"/>
      <c r="CT1" s="430"/>
      <c r="CU1" s="430"/>
      <c r="CV1" s="430"/>
      <c r="CW1" s="430"/>
      <c r="CX1" s="430"/>
      <c r="CY1" s="430"/>
      <c r="CZ1" s="430"/>
      <c r="DA1" s="430"/>
      <c r="DB1" s="430"/>
      <c r="DC1" s="430"/>
      <c r="DD1" s="430"/>
      <c r="DE1" s="430"/>
      <c r="DF1" s="430"/>
      <c r="DG1" s="430"/>
      <c r="DH1" s="430"/>
      <c r="DI1" s="430"/>
      <c r="DJ1" s="430"/>
      <c r="DK1" s="430"/>
      <c r="DL1" s="430"/>
      <c r="DM1" s="430"/>
      <c r="DN1" s="430"/>
      <c r="DO1" s="430"/>
      <c r="DP1" s="430"/>
      <c r="DQ1" s="430"/>
      <c r="DR1" s="430"/>
      <c r="DS1" s="160"/>
      <c r="DT1" s="430" t="s">
        <v>299</v>
      </c>
      <c r="DU1" s="430"/>
      <c r="DV1" s="430"/>
      <c r="DW1" s="430"/>
      <c r="DX1" s="430"/>
      <c r="DY1" s="430"/>
      <c r="DZ1" s="430"/>
      <c r="EA1" s="430"/>
      <c r="EB1" s="430"/>
      <c r="EC1" s="430"/>
      <c r="ED1" s="430"/>
      <c r="EE1" s="430"/>
      <c r="EF1" s="430"/>
      <c r="EG1" s="430"/>
      <c r="EH1" s="430"/>
      <c r="EI1" s="430"/>
      <c r="EJ1" s="430"/>
      <c r="EK1" s="430"/>
      <c r="EL1" s="430"/>
      <c r="EM1" s="430"/>
      <c r="EN1" s="430"/>
      <c r="EO1" s="430"/>
      <c r="EP1" s="430"/>
      <c r="EQ1" s="430"/>
      <c r="ER1" s="430"/>
      <c r="ES1" s="430"/>
      <c r="ET1" s="430"/>
      <c r="EU1" s="430"/>
      <c r="EV1" s="430"/>
      <c r="EW1" s="430"/>
      <c r="EX1" s="430"/>
      <c r="EY1" s="430"/>
      <c r="EZ1" s="430"/>
      <c r="FA1" s="430"/>
      <c r="FB1" s="430"/>
      <c r="FD1" s="427" t="s">
        <v>511</v>
      </c>
    </row>
    <row r="2" spans="1:160" ht="12.75" customHeight="1" x14ac:dyDescent="0.2">
      <c r="B2" s="203" t="s">
        <v>617</v>
      </c>
      <c r="C2" s="178"/>
      <c r="D2" s="178" t="s">
        <v>105</v>
      </c>
      <c r="E2" s="178"/>
      <c r="F2" s="178"/>
      <c r="G2" s="178"/>
      <c r="H2" s="178"/>
      <c r="I2" s="178"/>
      <c r="K2" s="178" t="s">
        <v>102</v>
      </c>
      <c r="L2" s="200" t="s">
        <v>610</v>
      </c>
      <c r="M2" s="178"/>
      <c r="N2" s="178"/>
      <c r="O2" s="178"/>
      <c r="P2" s="178"/>
      <c r="Q2" s="178"/>
      <c r="R2" s="178"/>
      <c r="S2" s="178"/>
      <c r="T2" s="178"/>
      <c r="U2" s="178"/>
      <c r="V2" s="178"/>
      <c r="W2" s="178"/>
      <c r="X2" s="178"/>
      <c r="Y2" s="178"/>
      <c r="Z2" s="178"/>
      <c r="AB2" s="178"/>
      <c r="AC2" s="178"/>
      <c r="AD2" s="178"/>
      <c r="AE2" s="178"/>
      <c r="AF2" s="335" t="s">
        <v>19</v>
      </c>
      <c r="AG2" s="184">
        <v>22</v>
      </c>
      <c r="AH2" s="184"/>
      <c r="AI2" s="184"/>
      <c r="AJ2" s="185"/>
      <c r="AK2" s="186" t="s">
        <v>20</v>
      </c>
      <c r="AL2" s="425">
        <v>1</v>
      </c>
      <c r="AM2" s="161"/>
      <c r="AN2" s="187" t="str">
        <f>mesec($AL$2)</f>
        <v>януари</v>
      </c>
      <c r="AO2" s="186" t="str">
        <f>MID(vers,1,4)</f>
        <v>2014</v>
      </c>
      <c r="AP2" s="182"/>
      <c r="AQ2" s="189"/>
      <c r="AR2" s="188" t="s">
        <v>111</v>
      </c>
      <c r="AS2" s="188"/>
      <c r="AT2" s="431" t="s">
        <v>484</v>
      </c>
      <c r="AU2" s="431" t="s">
        <v>258</v>
      </c>
      <c r="AV2" s="443" t="s">
        <v>616</v>
      </c>
      <c r="AW2" s="431" t="s">
        <v>69</v>
      </c>
      <c r="AX2" s="431" t="s">
        <v>70</v>
      </c>
      <c r="AY2" s="431" t="s">
        <v>71</v>
      </c>
      <c r="AZ2" s="431" t="s">
        <v>72</v>
      </c>
      <c r="BA2" s="431" t="s">
        <v>73</v>
      </c>
      <c r="BB2" s="431" t="s">
        <v>123</v>
      </c>
      <c r="BC2" s="431" t="s">
        <v>95</v>
      </c>
      <c r="BD2" s="431" t="s">
        <v>168</v>
      </c>
      <c r="BE2" s="431" t="s">
        <v>169</v>
      </c>
      <c r="BF2" s="431" t="s">
        <v>485</v>
      </c>
      <c r="BG2" s="431" t="s">
        <v>96</v>
      </c>
      <c r="BH2" s="431" t="s">
        <v>304</v>
      </c>
      <c r="BI2" s="431" t="s">
        <v>97</v>
      </c>
      <c r="BJ2" s="431" t="s">
        <v>98</v>
      </c>
      <c r="BK2" s="431" t="s">
        <v>489</v>
      </c>
      <c r="BL2" s="431" t="s">
        <v>488</v>
      </c>
      <c r="BM2" s="431" t="s">
        <v>100</v>
      </c>
      <c r="BN2" s="431" t="s">
        <v>99</v>
      </c>
      <c r="BO2" s="431" t="s">
        <v>491</v>
      </c>
      <c r="BP2" s="431" t="s">
        <v>490</v>
      </c>
      <c r="BQ2" s="431" t="s">
        <v>101</v>
      </c>
      <c r="BR2" s="431" t="s">
        <v>140</v>
      </c>
      <c r="BS2" s="431" t="s">
        <v>139</v>
      </c>
      <c r="BT2" s="431" t="s">
        <v>138</v>
      </c>
      <c r="BU2" s="431" t="s">
        <v>141</v>
      </c>
      <c r="BV2" s="431" t="s">
        <v>142</v>
      </c>
      <c r="BW2" s="431" t="s">
        <v>144</v>
      </c>
      <c r="BX2" s="431" t="s">
        <v>143</v>
      </c>
      <c r="BY2" s="431" t="s">
        <v>312</v>
      </c>
      <c r="BZ2" s="431" t="s">
        <v>313</v>
      </c>
      <c r="CA2" s="431" t="s">
        <v>439</v>
      </c>
      <c r="CB2" s="431" t="s">
        <v>440</v>
      </c>
      <c r="CC2" s="431" t="s">
        <v>166</v>
      </c>
      <c r="CD2" s="431" t="s">
        <v>167</v>
      </c>
      <c r="CE2" s="431" t="s">
        <v>164</v>
      </c>
      <c r="CF2" s="431" t="s">
        <v>165</v>
      </c>
      <c r="CG2" s="431" t="s">
        <v>314</v>
      </c>
      <c r="CH2" s="431" t="s">
        <v>315</v>
      </c>
      <c r="CI2" s="427" t="s">
        <v>222</v>
      </c>
      <c r="CJ2" s="427" t="s">
        <v>303</v>
      </c>
      <c r="CK2" s="427" t="s">
        <v>257</v>
      </c>
      <c r="CL2" s="434" t="s">
        <v>300</v>
      </c>
      <c r="CM2" s="334">
        <v>0.126</v>
      </c>
      <c r="CN2" s="212">
        <v>9.8000000000000004E-2</v>
      </c>
      <c r="CO2" s="212">
        <f>Рекапитулация!B6</f>
        <v>9.9000000000000005E-2</v>
      </c>
      <c r="CP2" s="212">
        <f>Рекапитулация!B7</f>
        <v>7.0999999999999994E-2</v>
      </c>
      <c r="CQ2" s="212">
        <f>Рекапитулация!B8</f>
        <v>0.129</v>
      </c>
      <c r="CR2" s="212">
        <f>Рекапитулация!B9</f>
        <v>0.10100000000000001</v>
      </c>
      <c r="CS2" s="212">
        <f>Рекапитулация!B10</f>
        <v>0.129</v>
      </c>
      <c r="CT2" s="212">
        <f>Рекапитулация!B11</f>
        <v>0.10100000000000001</v>
      </c>
      <c r="CU2" s="212">
        <f>Рекапитулация!B12</f>
        <v>9.9000000000000005E-2</v>
      </c>
      <c r="CV2" s="212">
        <f>Рекапитулация!B13</f>
        <v>7.0999999999999994E-2</v>
      </c>
      <c r="CW2" s="212">
        <f>Рекапитулация!B16</f>
        <v>9.9000000000000005E-2</v>
      </c>
      <c r="CX2" s="212">
        <f>Рекапитулация!B17</f>
        <v>7.0999999999999994E-2</v>
      </c>
      <c r="CY2" s="212">
        <v>0.156</v>
      </c>
      <c r="CZ2" s="212">
        <v>0.128</v>
      </c>
      <c r="DA2" s="212">
        <v>0.156</v>
      </c>
      <c r="DB2" s="212">
        <v>0.128</v>
      </c>
      <c r="DC2" s="212">
        <v>0.126</v>
      </c>
      <c r="DD2" s="212">
        <v>9.8000000000000004E-2</v>
      </c>
      <c r="DE2" s="212">
        <f>Рекапитулация!B22</f>
        <v>9.9000000000000005E-2</v>
      </c>
      <c r="DF2" s="212">
        <f>Рекапитулация!B23</f>
        <v>7.0999999999999994E-2</v>
      </c>
      <c r="DG2" s="212">
        <f>Рекапитулация!B24</f>
        <v>4.0000000000000001E-3</v>
      </c>
      <c r="DH2" s="212">
        <f>Рекапитулация!B25</f>
        <v>0</v>
      </c>
      <c r="DI2" s="212">
        <f>Рекапитулация!B26</f>
        <v>2.8000000000000001E-2</v>
      </c>
      <c r="DJ2" s="212">
        <f>Рекапитулация!B27</f>
        <v>2.8000000000000001E-2</v>
      </c>
      <c r="DK2" s="212">
        <f>Рекапитулация!B28</f>
        <v>7.0000000000000007E-2</v>
      </c>
      <c r="DL2" s="212">
        <f>Рекапитулация!B29</f>
        <v>0.12</v>
      </c>
      <c r="DM2" s="212">
        <f>Рекапитулация!B30</f>
        <v>4.8000000000000001E-2</v>
      </c>
      <c r="DN2" s="212">
        <f>Рекапитулация!B31</f>
        <v>4.8000000000000001E-2</v>
      </c>
      <c r="DO2" s="212">
        <f>Рекапитулация!$B32</f>
        <v>4.8000000000000001E-2</v>
      </c>
      <c r="DP2" s="212">
        <f>Рекапитулация!$B33</f>
        <v>0.08</v>
      </c>
      <c r="DQ2" s="212">
        <f>Рекапитулация!$B33</f>
        <v>0.08</v>
      </c>
      <c r="DR2" s="212">
        <f>Рекапитулация!$B34</f>
        <v>4.2999999999999997E-2</v>
      </c>
      <c r="DS2" s="434" t="s">
        <v>301</v>
      </c>
      <c r="DT2" s="212">
        <v>9.7000000000000003E-2</v>
      </c>
      <c r="DU2" s="212">
        <v>7.4999999999999997E-2</v>
      </c>
      <c r="DV2" s="212">
        <f>Рекапитулация!$B40</f>
        <v>7.9000000000000001E-2</v>
      </c>
      <c r="DW2" s="212">
        <f>Рекапитулация!$B41</f>
        <v>5.7000000000000002E-2</v>
      </c>
      <c r="DX2" s="194">
        <f>Рекапитулация!$B42</f>
        <v>7.9000000000000001E-2</v>
      </c>
      <c r="DY2" s="194">
        <f>Рекапитулация!$B43</f>
        <v>5.7000000000000002E-2</v>
      </c>
      <c r="DZ2" s="194">
        <f>Рекапитулация!$B44</f>
        <v>7.9000000000000001E-2</v>
      </c>
      <c r="EA2" s="194">
        <f>Рекапитулация!$B45</f>
        <v>5.7000000000000002E-2</v>
      </c>
      <c r="EB2" s="194">
        <f>Рекапитулация!B46</f>
        <v>7.9000000000000001E-2</v>
      </c>
      <c r="EC2" s="194">
        <f>Рекапитулация!B47</f>
        <v>5.7000000000000002E-2</v>
      </c>
      <c r="ED2" s="194">
        <f>Рекапитулация!$B50</f>
        <v>7.9000000000000001E-2</v>
      </c>
      <c r="EE2" s="194">
        <f>Рекапитулация!$B51</f>
        <v>5.7000000000000002E-2</v>
      </c>
      <c r="EF2" s="212">
        <v>9.7000000000000003E-2</v>
      </c>
      <c r="EG2" s="212">
        <v>7.4999999999999997E-2</v>
      </c>
      <c r="EH2" s="212">
        <v>9.7000000000000003E-2</v>
      </c>
      <c r="EI2" s="212">
        <v>7.4999999999999997E-2</v>
      </c>
      <c r="EJ2" s="212">
        <v>9.7000000000000003E-2</v>
      </c>
      <c r="EK2" s="212">
        <v>7.4999999999999997E-2</v>
      </c>
      <c r="EL2" s="194">
        <f>Рекапитулация!B56</f>
        <v>7.9000000000000001E-2</v>
      </c>
      <c r="EM2" s="194">
        <f>Рекапитулация!B57</f>
        <v>5.7000000000000002E-2</v>
      </c>
      <c r="EN2" s="194">
        <f>Рекапитулация!$B58</f>
        <v>2.1999999999999999E-2</v>
      </c>
      <c r="EO2" s="194">
        <f>Рекапитулация!B59</f>
        <v>2.1999999999999999E-2</v>
      </c>
      <c r="EP2" s="194">
        <f>Рекапитулация!$B60</f>
        <v>0.21299999999999999</v>
      </c>
      <c r="EQ2" s="194">
        <f>Рекапитулация!$B61</f>
        <v>0.16300000000000001</v>
      </c>
      <c r="ER2" s="194">
        <f>Рекапитулация!B62</f>
        <v>0.21299999999999999</v>
      </c>
      <c r="ES2" s="194">
        <f>Рекапитулация!B63</f>
        <v>0.16300000000000001</v>
      </c>
      <c r="ET2" s="194">
        <f>Рекапитулация!$B64</f>
        <v>0.17799999999999999</v>
      </c>
      <c r="EU2" s="194">
        <f>Рекапитулация!$B65</f>
        <v>0.128</v>
      </c>
      <c r="EV2" s="194">
        <f>Рекапитулация!B66</f>
        <v>0.17799999999999999</v>
      </c>
      <c r="EW2" s="194">
        <f>Рекапитулация!B67</f>
        <v>0.128</v>
      </c>
      <c r="EX2" s="194">
        <f>Рекапитулация!$B68</f>
        <v>0.05</v>
      </c>
      <c r="EY2" s="194">
        <f>Рекапитулация!$B69</f>
        <v>3.2000000000000001E-2</v>
      </c>
      <c r="EZ2" s="194">
        <f>Рекапитулация!B70</f>
        <v>3.2000000000000001E-2</v>
      </c>
      <c r="FA2" s="194">
        <f>Рекапитулация!$B72</f>
        <v>0.08</v>
      </c>
      <c r="FB2" s="194">
        <f>Рекапитулация!$B73</f>
        <v>4.8000000000000001E-2</v>
      </c>
      <c r="FC2" s="452" t="s">
        <v>302</v>
      </c>
      <c r="FD2" s="428"/>
    </row>
    <row r="3" spans="1:160" x14ac:dyDescent="0.2">
      <c r="Q3" s="14"/>
      <c r="R3" s="14"/>
      <c r="S3" s="14"/>
      <c r="T3" s="14"/>
      <c r="U3" s="14"/>
      <c r="V3" s="14"/>
      <c r="W3" s="14"/>
      <c r="X3" s="14"/>
      <c r="Y3" s="14"/>
      <c r="Z3" s="14"/>
      <c r="AA3" s="245"/>
      <c r="AB3" s="14"/>
      <c r="AN3" s="190"/>
      <c r="AT3" s="431"/>
      <c r="AU3" s="431"/>
      <c r="AV3" s="431"/>
      <c r="AW3" s="431"/>
      <c r="AX3" s="431"/>
      <c r="AY3" s="431"/>
      <c r="AZ3" s="431"/>
      <c r="BA3" s="431"/>
      <c r="BB3" s="431"/>
      <c r="BC3" s="431"/>
      <c r="BD3" s="431"/>
      <c r="BE3" s="431"/>
      <c r="BF3" s="431"/>
      <c r="BG3" s="431"/>
      <c r="BH3" s="431"/>
      <c r="BI3" s="431"/>
      <c r="BJ3" s="431"/>
      <c r="BK3" s="431"/>
      <c r="BL3" s="431"/>
      <c r="BM3" s="431"/>
      <c r="BN3" s="431"/>
      <c r="BO3" s="431"/>
      <c r="BP3" s="431"/>
      <c r="BQ3" s="431"/>
      <c r="BR3" s="431"/>
      <c r="BS3" s="431"/>
      <c r="BT3" s="431"/>
      <c r="BU3" s="431"/>
      <c r="BV3" s="431"/>
      <c r="BW3" s="431"/>
      <c r="BX3" s="431"/>
      <c r="BY3" s="431"/>
      <c r="BZ3" s="431"/>
      <c r="CA3" s="431"/>
      <c r="CB3" s="431"/>
      <c r="CC3" s="431"/>
      <c r="CD3" s="431"/>
      <c r="CE3" s="431"/>
      <c r="CF3" s="431"/>
      <c r="CG3" s="431"/>
      <c r="CH3" s="431"/>
      <c r="CI3" s="427"/>
      <c r="CJ3" s="427"/>
      <c r="CK3" s="427"/>
      <c r="CL3" s="434"/>
      <c r="CM3" s="213"/>
      <c r="CN3" s="213"/>
      <c r="CO3" s="213"/>
      <c r="CP3" s="213"/>
      <c r="CQ3" s="213"/>
      <c r="CR3" s="213"/>
      <c r="CS3" s="213"/>
      <c r="CT3" s="213"/>
      <c r="CU3" s="213"/>
      <c r="CV3" s="213"/>
      <c r="CW3" s="213"/>
      <c r="CX3" s="213"/>
      <c r="CY3" s="213"/>
      <c r="CZ3" s="213"/>
      <c r="DA3" s="213"/>
      <c r="DB3" s="213"/>
      <c r="DC3" s="213"/>
      <c r="DD3" s="213"/>
      <c r="DE3" s="213"/>
      <c r="DF3" s="213"/>
      <c r="DG3" s="213"/>
      <c r="DH3" s="213"/>
      <c r="DI3" s="213"/>
      <c r="DJ3" s="213"/>
      <c r="DK3" s="213"/>
      <c r="DL3" s="213"/>
      <c r="DM3" s="213"/>
      <c r="DN3" s="213"/>
      <c r="DO3" s="213"/>
      <c r="DP3" s="213"/>
      <c r="DQ3" s="213"/>
      <c r="DR3" s="213"/>
      <c r="DS3" s="434"/>
      <c r="DT3" s="211"/>
      <c r="DU3" s="211"/>
      <c r="DV3" s="211"/>
      <c r="DW3" s="211"/>
      <c r="DX3" s="209"/>
      <c r="DY3" s="209"/>
      <c r="DZ3" s="209"/>
      <c r="EA3" s="209"/>
      <c r="EB3" s="209"/>
      <c r="EC3" s="209"/>
      <c r="ED3" s="209"/>
      <c r="EE3" s="209"/>
      <c r="EF3" s="211"/>
      <c r="EG3" s="211"/>
      <c r="EH3" s="211"/>
      <c r="EI3" s="211"/>
      <c r="EJ3" s="211"/>
      <c r="EK3" s="211"/>
      <c r="EL3" s="209"/>
      <c r="EM3" s="209"/>
      <c r="EN3" s="209"/>
      <c r="EO3" s="209"/>
      <c r="EP3" s="209"/>
      <c r="EQ3" s="209"/>
      <c r="ER3" s="209"/>
      <c r="ES3" s="209"/>
      <c r="ET3" s="209"/>
      <c r="EU3" s="209"/>
      <c r="EV3" s="209"/>
      <c r="EW3" s="209"/>
      <c r="EX3" s="209"/>
      <c r="EY3" s="209"/>
      <c r="EZ3" s="209"/>
      <c r="FA3" s="209"/>
      <c r="FB3" s="209"/>
      <c r="FC3" s="452"/>
      <c r="FD3" s="428"/>
    </row>
    <row r="4" spans="1:160" s="173" customFormat="1" ht="23.25" customHeight="1" x14ac:dyDescent="0.2">
      <c r="A4" s="436" t="s">
        <v>0</v>
      </c>
      <c r="B4" s="439" t="s">
        <v>350</v>
      </c>
      <c r="C4" s="435" t="s">
        <v>43</v>
      </c>
      <c r="D4" s="435" t="s">
        <v>45</v>
      </c>
      <c r="E4" s="435" t="s">
        <v>1</v>
      </c>
      <c r="F4" s="435" t="s">
        <v>510</v>
      </c>
      <c r="G4" s="441" t="s">
        <v>5</v>
      </c>
      <c r="H4" s="435" t="s">
        <v>119</v>
      </c>
      <c r="I4" s="435" t="s">
        <v>308</v>
      </c>
      <c r="J4" s="435" t="s">
        <v>52</v>
      </c>
      <c r="K4" s="435" t="s">
        <v>60</v>
      </c>
      <c r="L4" s="435" t="s">
        <v>116</v>
      </c>
      <c r="M4" s="441" t="s">
        <v>49</v>
      </c>
      <c r="N4" s="435" t="s">
        <v>39</v>
      </c>
      <c r="O4" s="435"/>
      <c r="P4" s="435" t="s">
        <v>46</v>
      </c>
      <c r="Q4" s="435" t="s">
        <v>339</v>
      </c>
      <c r="R4" s="435" t="s">
        <v>340</v>
      </c>
      <c r="S4" s="448" t="s">
        <v>178</v>
      </c>
      <c r="T4" s="449"/>
      <c r="U4" s="429" t="s">
        <v>338</v>
      </c>
      <c r="V4" s="435" t="s">
        <v>42</v>
      </c>
      <c r="W4" s="444" t="s">
        <v>224</v>
      </c>
      <c r="X4" s="444" t="s">
        <v>223</v>
      </c>
      <c r="Y4" s="435" t="s">
        <v>337</v>
      </c>
      <c r="Z4" s="435" t="s">
        <v>51</v>
      </c>
      <c r="AA4" s="435" t="s">
        <v>30</v>
      </c>
      <c r="AB4" s="611" t="s">
        <v>40</v>
      </c>
      <c r="AC4" s="612"/>
      <c r="AD4" s="612"/>
      <c r="AE4" s="612"/>
      <c r="AF4" s="612"/>
      <c r="AG4" s="613"/>
      <c r="AH4" s="441" t="s">
        <v>341</v>
      </c>
      <c r="AI4" s="441" t="s">
        <v>481</v>
      </c>
      <c r="AJ4" s="441" t="s">
        <v>41</v>
      </c>
      <c r="AK4" s="435" t="s">
        <v>2</v>
      </c>
      <c r="AL4" s="435" t="s">
        <v>3</v>
      </c>
      <c r="AM4" s="435" t="s">
        <v>513</v>
      </c>
      <c r="AN4" s="435" t="s">
        <v>4</v>
      </c>
      <c r="AO4" s="435" t="s">
        <v>48</v>
      </c>
      <c r="AP4" s="435" t="s">
        <v>47</v>
      </c>
      <c r="AQ4" s="435" t="s">
        <v>50</v>
      </c>
      <c r="AR4" s="435" t="s">
        <v>118</v>
      </c>
      <c r="AS4" s="435" t="s">
        <v>514</v>
      </c>
      <c r="AT4" s="431"/>
      <c r="AU4" s="431"/>
      <c r="AV4" s="431"/>
      <c r="AW4" s="431"/>
      <c r="AX4" s="431"/>
      <c r="AY4" s="431"/>
      <c r="AZ4" s="431"/>
      <c r="BA4" s="431"/>
      <c r="BB4" s="431"/>
      <c r="BC4" s="431"/>
      <c r="BD4" s="431"/>
      <c r="BE4" s="431"/>
      <c r="BF4" s="431"/>
      <c r="BG4" s="431"/>
      <c r="BH4" s="431"/>
      <c r="BI4" s="431"/>
      <c r="BJ4" s="431"/>
      <c r="BK4" s="431"/>
      <c r="BL4" s="431"/>
      <c r="BM4" s="431"/>
      <c r="BN4" s="431"/>
      <c r="BO4" s="431"/>
      <c r="BP4" s="431"/>
      <c r="BQ4" s="431"/>
      <c r="BR4" s="431"/>
      <c r="BS4" s="431"/>
      <c r="BT4" s="431"/>
      <c r="BU4" s="431"/>
      <c r="BV4" s="431"/>
      <c r="BW4" s="431"/>
      <c r="BX4" s="431"/>
      <c r="BY4" s="431"/>
      <c r="BZ4" s="431"/>
      <c r="CA4" s="431"/>
      <c r="CB4" s="431"/>
      <c r="CC4" s="431"/>
      <c r="CD4" s="431"/>
      <c r="CE4" s="431"/>
      <c r="CF4" s="431"/>
      <c r="CG4" s="431"/>
      <c r="CH4" s="431"/>
      <c r="CI4" s="427"/>
      <c r="CJ4" s="427"/>
      <c r="CK4" s="427"/>
      <c r="CL4" s="434"/>
      <c r="CM4" s="213"/>
      <c r="CN4" s="213"/>
      <c r="CO4" s="213"/>
      <c r="CP4" s="213"/>
      <c r="CQ4" s="213"/>
      <c r="CR4" s="213"/>
      <c r="CS4" s="213"/>
      <c r="CT4" s="213"/>
      <c r="CU4" s="213"/>
      <c r="CV4" s="213"/>
      <c r="CW4" s="213"/>
      <c r="CX4" s="213"/>
      <c r="CY4" s="213"/>
      <c r="CZ4" s="213"/>
      <c r="DA4" s="213"/>
      <c r="DB4" s="213"/>
      <c r="DC4" s="213"/>
      <c r="DD4" s="213"/>
      <c r="DE4" s="213"/>
      <c r="DF4" s="213"/>
      <c r="DG4" s="213"/>
      <c r="DH4" s="213"/>
      <c r="DI4" s="213"/>
      <c r="DJ4" s="213"/>
      <c r="DK4" s="213"/>
      <c r="DL4" s="213"/>
      <c r="DM4" s="213"/>
      <c r="DN4" s="213"/>
      <c r="DO4" s="213"/>
      <c r="DP4" s="213"/>
      <c r="DQ4" s="213"/>
      <c r="DR4" s="213"/>
      <c r="DS4" s="434"/>
      <c r="DT4" s="211"/>
      <c r="DU4" s="211"/>
      <c r="DV4" s="211"/>
      <c r="DW4" s="211"/>
      <c r="DX4" s="209"/>
      <c r="DY4" s="209"/>
      <c r="DZ4" s="209"/>
      <c r="EA4" s="209"/>
      <c r="EB4" s="209"/>
      <c r="EC4" s="209"/>
      <c r="ED4" s="209"/>
      <c r="EE4" s="209"/>
      <c r="EF4" s="211"/>
      <c r="EG4" s="211"/>
      <c r="EH4" s="211"/>
      <c r="EI4" s="211"/>
      <c r="EJ4" s="211"/>
      <c r="EK4" s="211"/>
      <c r="EL4" s="209"/>
      <c r="EM4" s="209"/>
      <c r="EN4" s="209"/>
      <c r="EO4" s="209"/>
      <c r="EP4" s="209"/>
      <c r="EQ4" s="209"/>
      <c r="ER4" s="209"/>
      <c r="ES4" s="209"/>
      <c r="ET4" s="209"/>
      <c r="EU4" s="209"/>
      <c r="EV4" s="209"/>
      <c r="EW4" s="209"/>
      <c r="EX4" s="209"/>
      <c r="EY4" s="209"/>
      <c r="EZ4" s="209"/>
      <c r="FA4" s="209"/>
      <c r="FB4" s="209"/>
      <c r="FC4" s="452"/>
      <c r="FD4" s="428"/>
    </row>
    <row r="5" spans="1:160" s="174" customFormat="1" ht="113.25" customHeight="1" x14ac:dyDescent="0.2">
      <c r="A5" s="437"/>
      <c r="B5" s="439"/>
      <c r="C5" s="435"/>
      <c r="D5" s="435"/>
      <c r="E5" s="435"/>
      <c r="F5" s="435"/>
      <c r="G5" s="442"/>
      <c r="H5" s="435"/>
      <c r="I5" s="435"/>
      <c r="J5" s="435"/>
      <c r="K5" s="435"/>
      <c r="L5" s="435"/>
      <c r="M5" s="442"/>
      <c r="N5" s="435"/>
      <c r="O5" s="435"/>
      <c r="P5" s="435"/>
      <c r="Q5" s="435"/>
      <c r="R5" s="435"/>
      <c r="S5" s="450"/>
      <c r="T5" s="451"/>
      <c r="U5" s="429"/>
      <c r="V5" s="435"/>
      <c r="W5" s="445"/>
      <c r="X5" s="445"/>
      <c r="Y5" s="435"/>
      <c r="Z5" s="435"/>
      <c r="AA5" s="435"/>
      <c r="AB5" s="435" t="str">
        <f>CONCATENATE("Фондове ДОО","
",
(Систем!D6)*100,"%","  /  ",(Систем!E6)*100,"%")</f>
        <v>Фондове ДОО
9,7%  /  7,5%</v>
      </c>
      <c r="AC5" s="435" t="s">
        <v>117</v>
      </c>
      <c r="AD5" s="435"/>
      <c r="AE5" s="435"/>
      <c r="AF5" s="435" t="str">
        <f>CONCATENATE("Здравно осигуряване","
",Систем!D11*100,"%")</f>
        <v>Здравно осигуряване
3,2%</v>
      </c>
      <c r="AG5" s="435" t="str">
        <f>CONCATENATE("ДЗПО - УПФ","
",Систем!D9*100,"%","  /  ",Систем!E9*100,"%")</f>
        <v>ДЗПО - УПФ
0%  /  2,2%</v>
      </c>
      <c r="AH5" s="442"/>
      <c r="AI5" s="442"/>
      <c r="AJ5" s="442"/>
      <c r="AK5" s="435"/>
      <c r="AL5" s="435"/>
      <c r="AM5" s="435"/>
      <c r="AN5" s="435"/>
      <c r="AO5" s="435"/>
      <c r="AP5" s="435"/>
      <c r="AQ5" s="435"/>
      <c r="AR5" s="435"/>
      <c r="AS5" s="435"/>
      <c r="AT5" s="431"/>
      <c r="AU5" s="431"/>
      <c r="AV5" s="431"/>
      <c r="AW5" s="431"/>
      <c r="AX5" s="431"/>
      <c r="AY5" s="431"/>
      <c r="AZ5" s="431"/>
      <c r="BA5" s="431"/>
      <c r="BB5" s="431"/>
      <c r="BC5" s="431"/>
      <c r="BD5" s="431"/>
      <c r="BE5" s="431"/>
      <c r="BF5" s="431"/>
      <c r="BG5" s="431"/>
      <c r="BH5" s="431"/>
      <c r="BI5" s="431"/>
      <c r="BJ5" s="431"/>
      <c r="BK5" s="431"/>
      <c r="BL5" s="431"/>
      <c r="BM5" s="431"/>
      <c r="BN5" s="431"/>
      <c r="BO5" s="431"/>
      <c r="BP5" s="431"/>
      <c r="BQ5" s="431"/>
      <c r="BR5" s="431"/>
      <c r="BS5" s="431"/>
      <c r="BT5" s="431"/>
      <c r="BU5" s="431"/>
      <c r="BV5" s="431"/>
      <c r="BW5" s="431"/>
      <c r="BX5" s="431"/>
      <c r="BY5" s="431"/>
      <c r="BZ5" s="431"/>
      <c r="CA5" s="431"/>
      <c r="CB5" s="431"/>
      <c r="CC5" s="431"/>
      <c r="CD5" s="431"/>
      <c r="CE5" s="431"/>
      <c r="CF5" s="431"/>
      <c r="CG5" s="431"/>
      <c r="CH5" s="431"/>
      <c r="CI5" s="427"/>
      <c r="CJ5" s="427"/>
      <c r="CK5" s="427"/>
      <c r="CL5" s="434"/>
      <c r="CM5" s="432" t="s">
        <v>259</v>
      </c>
      <c r="CN5" s="432" t="s">
        <v>260</v>
      </c>
      <c r="CO5" s="432" t="s">
        <v>261</v>
      </c>
      <c r="CP5" s="432" t="s">
        <v>262</v>
      </c>
      <c r="CQ5" s="432" t="s">
        <v>263</v>
      </c>
      <c r="CR5" s="432" t="s">
        <v>264</v>
      </c>
      <c r="CS5" s="432" t="s">
        <v>265</v>
      </c>
      <c r="CT5" s="432" t="s">
        <v>266</v>
      </c>
      <c r="CU5" s="432" t="s">
        <v>322</v>
      </c>
      <c r="CV5" s="432" t="s">
        <v>323</v>
      </c>
      <c r="CW5" s="432" t="s">
        <v>267</v>
      </c>
      <c r="CX5" s="432" t="s">
        <v>268</v>
      </c>
      <c r="CY5" s="432" t="s">
        <v>269</v>
      </c>
      <c r="CZ5" s="432" t="s">
        <v>270</v>
      </c>
      <c r="DA5" s="432" t="s">
        <v>271</v>
      </c>
      <c r="DB5" s="432" t="s">
        <v>272</v>
      </c>
      <c r="DC5" s="432" t="s">
        <v>316</v>
      </c>
      <c r="DD5" s="432" t="s">
        <v>317</v>
      </c>
      <c r="DE5" s="432" t="s">
        <v>441</v>
      </c>
      <c r="DF5" s="432" t="s">
        <v>442</v>
      </c>
      <c r="DG5" s="432" t="s">
        <v>324</v>
      </c>
      <c r="DH5" s="432" t="s">
        <v>273</v>
      </c>
      <c r="DI5" s="432" t="s">
        <v>447</v>
      </c>
      <c r="DJ5" s="432" t="s">
        <v>329</v>
      </c>
      <c r="DK5" s="432" t="s">
        <v>274</v>
      </c>
      <c r="DL5" s="432" t="s">
        <v>275</v>
      </c>
      <c r="DM5" s="432" t="s">
        <v>276</v>
      </c>
      <c r="DN5" s="432" t="s">
        <v>336</v>
      </c>
      <c r="DO5" s="432" t="s">
        <v>277</v>
      </c>
      <c r="DP5" s="432" t="s">
        <v>278</v>
      </c>
      <c r="DQ5" s="432" t="s">
        <v>307</v>
      </c>
      <c r="DR5" s="432" t="s">
        <v>279</v>
      </c>
      <c r="DS5" s="434"/>
      <c r="DT5" s="432" t="s">
        <v>281</v>
      </c>
      <c r="DU5" s="432" t="s">
        <v>282</v>
      </c>
      <c r="DV5" s="432" t="s">
        <v>283</v>
      </c>
      <c r="DW5" s="432" t="s">
        <v>284</v>
      </c>
      <c r="DX5" s="432" t="s">
        <v>285</v>
      </c>
      <c r="DY5" s="432" t="s">
        <v>286</v>
      </c>
      <c r="DZ5" s="432" t="s">
        <v>287</v>
      </c>
      <c r="EA5" s="432" t="s">
        <v>288</v>
      </c>
      <c r="EB5" s="432" t="s">
        <v>332</v>
      </c>
      <c r="EC5" s="432" t="s">
        <v>333</v>
      </c>
      <c r="ED5" s="432" t="s">
        <v>267</v>
      </c>
      <c r="EE5" s="432" t="s">
        <v>268</v>
      </c>
      <c r="EF5" s="432" t="s">
        <v>289</v>
      </c>
      <c r="EG5" s="432" t="s">
        <v>290</v>
      </c>
      <c r="EH5" s="432" t="s">
        <v>291</v>
      </c>
      <c r="EI5" s="432" t="s">
        <v>292</v>
      </c>
      <c r="EJ5" s="432" t="s">
        <v>330</v>
      </c>
      <c r="EK5" s="432" t="s">
        <v>331</v>
      </c>
      <c r="EL5" s="432" t="s">
        <v>445</v>
      </c>
      <c r="EM5" s="432" t="s">
        <v>446</v>
      </c>
      <c r="EN5" s="432" t="s">
        <v>447</v>
      </c>
      <c r="EO5" s="432" t="s">
        <v>329</v>
      </c>
      <c r="EP5" s="432" t="s">
        <v>293</v>
      </c>
      <c r="EQ5" s="432" t="s">
        <v>294</v>
      </c>
      <c r="ER5" s="432" t="s">
        <v>486</v>
      </c>
      <c r="ES5" s="432" t="s">
        <v>487</v>
      </c>
      <c r="ET5" s="432" t="s">
        <v>295</v>
      </c>
      <c r="EU5" s="432" t="s">
        <v>296</v>
      </c>
      <c r="EV5" s="432" t="s">
        <v>497</v>
      </c>
      <c r="EW5" s="432" t="s">
        <v>498</v>
      </c>
      <c r="EX5" s="432" t="s">
        <v>492</v>
      </c>
      <c r="EY5" s="432" t="s">
        <v>276</v>
      </c>
      <c r="EZ5" s="432" t="s">
        <v>336</v>
      </c>
      <c r="FA5" s="432" t="s">
        <v>297</v>
      </c>
      <c r="FB5" s="432" t="s">
        <v>298</v>
      </c>
      <c r="FC5" s="452"/>
      <c r="FD5" s="428"/>
    </row>
    <row r="6" spans="1:160" ht="27.75" customHeight="1" x14ac:dyDescent="0.2">
      <c r="A6" s="438"/>
      <c r="B6" s="439"/>
      <c r="C6" s="435"/>
      <c r="D6" s="435"/>
      <c r="E6" s="435"/>
      <c r="F6" s="435"/>
      <c r="G6" s="169" t="s">
        <v>342</v>
      </c>
      <c r="H6" s="435"/>
      <c r="I6" s="435"/>
      <c r="J6" s="435"/>
      <c r="K6" s="435"/>
      <c r="L6" s="435"/>
      <c r="M6" s="447"/>
      <c r="N6" s="191" t="s">
        <v>37</v>
      </c>
      <c r="O6" s="192" t="s">
        <v>44</v>
      </c>
      <c r="P6" s="435"/>
      <c r="Q6" s="435"/>
      <c r="R6" s="435"/>
      <c r="S6" s="191" t="s">
        <v>37</v>
      </c>
      <c r="T6" s="192" t="s">
        <v>44</v>
      </c>
      <c r="U6" s="429"/>
      <c r="V6" s="435"/>
      <c r="W6" s="446"/>
      <c r="X6" s="446"/>
      <c r="Y6" s="435"/>
      <c r="Z6" s="435"/>
      <c r="AA6" s="435"/>
      <c r="AB6" s="435"/>
      <c r="AC6" s="435"/>
      <c r="AD6" s="435"/>
      <c r="AE6" s="435"/>
      <c r="AF6" s="435"/>
      <c r="AG6" s="435"/>
      <c r="AH6" s="447"/>
      <c r="AI6" s="447"/>
      <c r="AJ6" s="447"/>
      <c r="AK6" s="435"/>
      <c r="AL6" s="435"/>
      <c r="AM6" s="435"/>
      <c r="AN6" s="435"/>
      <c r="AO6" s="435"/>
      <c r="AP6" s="435"/>
      <c r="AQ6" s="435"/>
      <c r="AR6" s="435"/>
      <c r="AS6" s="435"/>
      <c r="AT6" s="431"/>
      <c r="AU6" s="431"/>
      <c r="AV6" s="431"/>
      <c r="AW6" s="431"/>
      <c r="AX6" s="431"/>
      <c r="AY6" s="431"/>
      <c r="AZ6" s="431"/>
      <c r="BA6" s="431"/>
      <c r="BB6" s="431"/>
      <c r="BC6" s="431"/>
      <c r="BD6" s="431"/>
      <c r="BE6" s="431"/>
      <c r="BF6" s="431"/>
      <c r="BG6" s="431"/>
      <c r="BH6" s="431"/>
      <c r="BI6" s="431"/>
      <c r="BJ6" s="431"/>
      <c r="BK6" s="431"/>
      <c r="BL6" s="431"/>
      <c r="BM6" s="431"/>
      <c r="BN6" s="431"/>
      <c r="BO6" s="431"/>
      <c r="BP6" s="431"/>
      <c r="BQ6" s="431"/>
      <c r="BR6" s="431"/>
      <c r="BS6" s="431"/>
      <c r="BT6" s="431"/>
      <c r="BU6" s="431"/>
      <c r="BV6" s="431"/>
      <c r="BW6" s="431"/>
      <c r="BX6" s="431"/>
      <c r="BY6" s="431"/>
      <c r="BZ6" s="431"/>
      <c r="CA6" s="431"/>
      <c r="CB6" s="431"/>
      <c r="CC6" s="431"/>
      <c r="CD6" s="431"/>
      <c r="CE6" s="431"/>
      <c r="CF6" s="431"/>
      <c r="CG6" s="431"/>
      <c r="CH6" s="431"/>
      <c r="CI6" s="427"/>
      <c r="CJ6" s="427"/>
      <c r="CK6" s="427"/>
      <c r="CL6" s="434"/>
      <c r="CM6" s="432"/>
      <c r="CN6" s="432"/>
      <c r="CO6" s="432"/>
      <c r="CP6" s="432"/>
      <c r="CQ6" s="432"/>
      <c r="CR6" s="432"/>
      <c r="CS6" s="432"/>
      <c r="CT6" s="432"/>
      <c r="CU6" s="432"/>
      <c r="CV6" s="432"/>
      <c r="CW6" s="432"/>
      <c r="CX6" s="432"/>
      <c r="CY6" s="432"/>
      <c r="CZ6" s="432"/>
      <c r="DA6" s="432"/>
      <c r="DB6" s="432"/>
      <c r="DC6" s="432"/>
      <c r="DD6" s="432"/>
      <c r="DE6" s="432"/>
      <c r="DF6" s="432"/>
      <c r="DG6" s="432"/>
      <c r="DH6" s="432"/>
      <c r="DI6" s="432"/>
      <c r="DJ6" s="432"/>
      <c r="DK6" s="432"/>
      <c r="DL6" s="432"/>
      <c r="DM6" s="432"/>
      <c r="DN6" s="432"/>
      <c r="DO6" s="432"/>
      <c r="DP6" s="432"/>
      <c r="DQ6" s="432"/>
      <c r="DR6" s="432"/>
      <c r="DS6" s="434"/>
      <c r="DT6" s="432"/>
      <c r="DU6" s="432"/>
      <c r="DV6" s="432"/>
      <c r="DW6" s="432"/>
      <c r="DX6" s="432"/>
      <c r="DY6" s="432"/>
      <c r="DZ6" s="432"/>
      <c r="EA6" s="432"/>
      <c r="EB6" s="432"/>
      <c r="EC6" s="432"/>
      <c r="ED6" s="432"/>
      <c r="EE6" s="432"/>
      <c r="EF6" s="432"/>
      <c r="EG6" s="432"/>
      <c r="EH6" s="432"/>
      <c r="EI6" s="432"/>
      <c r="EJ6" s="432"/>
      <c r="EK6" s="432"/>
      <c r="EL6" s="432"/>
      <c r="EM6" s="432"/>
      <c r="EN6" s="432"/>
      <c r="EO6" s="432"/>
      <c r="EP6" s="432"/>
      <c r="EQ6" s="432"/>
      <c r="ER6" s="432"/>
      <c r="ES6" s="432"/>
      <c r="ET6" s="432"/>
      <c r="EU6" s="432"/>
      <c r="EV6" s="432"/>
      <c r="EW6" s="432"/>
      <c r="EX6" s="432"/>
      <c r="EY6" s="432"/>
      <c r="EZ6" s="432"/>
      <c r="FA6" s="432"/>
      <c r="FB6" s="432"/>
      <c r="FC6" s="452"/>
      <c r="FD6" s="428"/>
    </row>
    <row r="7" spans="1:160" x14ac:dyDescent="0.2">
      <c r="A7" s="193">
        <f>IS7+1</f>
        <v>1</v>
      </c>
      <c r="B7" s="193">
        <f t="shared" ref="B7:E7" si="0">A7+1</f>
        <v>2</v>
      </c>
      <c r="C7" s="193">
        <f t="shared" si="0"/>
        <v>3</v>
      </c>
      <c r="D7" s="193">
        <f t="shared" si="0"/>
        <v>4</v>
      </c>
      <c r="E7" s="193">
        <f t="shared" si="0"/>
        <v>5</v>
      </c>
      <c r="F7" s="193">
        <f t="shared" ref="F7" si="1">E7+1</f>
        <v>6</v>
      </c>
      <c r="G7" s="193">
        <f t="shared" ref="G7" si="2">F7+1</f>
        <v>7</v>
      </c>
      <c r="H7" s="193">
        <f t="shared" ref="H7" si="3">G7+1</f>
        <v>8</v>
      </c>
      <c r="I7" s="193">
        <f t="shared" ref="I7" si="4">H7+1</f>
        <v>9</v>
      </c>
      <c r="J7" s="193">
        <f t="shared" ref="J7" si="5">I7+1</f>
        <v>10</v>
      </c>
      <c r="K7" s="193">
        <f t="shared" ref="K7" si="6">J7+1</f>
        <v>11</v>
      </c>
      <c r="L7" s="193">
        <f t="shared" ref="L7" si="7">K7+1</f>
        <v>12</v>
      </c>
      <c r="M7" s="193">
        <f t="shared" ref="M7" si="8">L7+1</f>
        <v>13</v>
      </c>
      <c r="N7" s="193">
        <f>M7+1</f>
        <v>14</v>
      </c>
      <c r="O7" s="193">
        <f>N7+1</f>
        <v>15</v>
      </c>
      <c r="P7" s="193">
        <f>O7+1</f>
        <v>16</v>
      </c>
      <c r="Q7" s="193">
        <f t="shared" ref="Q7" si="9">P7+1</f>
        <v>17</v>
      </c>
      <c r="R7" s="193">
        <f t="shared" ref="R7" si="10">Q7+1</f>
        <v>18</v>
      </c>
      <c r="S7" s="193">
        <f t="shared" ref="S7" si="11">R7+1</f>
        <v>19</v>
      </c>
      <c r="T7" s="193">
        <f t="shared" ref="T7" si="12">S7+1</f>
        <v>20</v>
      </c>
      <c r="U7" s="193">
        <f t="shared" ref="U7" si="13">T7+1</f>
        <v>21</v>
      </c>
      <c r="V7" s="193">
        <f t="shared" ref="V7" si="14">U7+1</f>
        <v>22</v>
      </c>
      <c r="W7" s="193">
        <f t="shared" ref="W7" si="15">V7+1</f>
        <v>23</v>
      </c>
      <c r="X7" s="193">
        <f t="shared" ref="X7" si="16">W7+1</f>
        <v>24</v>
      </c>
      <c r="Y7" s="193">
        <f>X7+1</f>
        <v>25</v>
      </c>
      <c r="Z7" s="193">
        <f t="shared" ref="Z7" si="17">Y7+1</f>
        <v>26</v>
      </c>
      <c r="AA7" s="193">
        <f t="shared" ref="AA7" si="18">Z7+1</f>
        <v>27</v>
      </c>
      <c r="AB7" s="193">
        <f t="shared" ref="AB7" si="19">AA7+1</f>
        <v>28</v>
      </c>
      <c r="AC7" s="193">
        <f>AB7+1</f>
        <v>29</v>
      </c>
      <c r="AD7" s="193">
        <f t="shared" ref="AD7" si="20">AC7+1</f>
        <v>30</v>
      </c>
      <c r="AE7" s="193">
        <f t="shared" ref="AE7" si="21">AD7+1</f>
        <v>31</v>
      </c>
      <c r="AF7" s="193">
        <v>30</v>
      </c>
      <c r="AG7" s="193">
        <f t="shared" ref="AG7" si="22">AF7+1</f>
        <v>31</v>
      </c>
      <c r="AH7" s="193">
        <f>AG7+1</f>
        <v>32</v>
      </c>
      <c r="AI7" s="193">
        <f>AH7+1</f>
        <v>33</v>
      </c>
      <c r="AJ7" s="193">
        <f t="shared" ref="AJ7" si="23">AI7+1</f>
        <v>34</v>
      </c>
      <c r="AK7" s="193">
        <f t="shared" ref="AK7" si="24">AJ7+1</f>
        <v>35</v>
      </c>
      <c r="AL7" s="193">
        <f t="shared" ref="AL7" si="25">AK7+1</f>
        <v>36</v>
      </c>
      <c r="AM7" s="193">
        <f t="shared" ref="AM7" si="26">AL7+1</f>
        <v>37</v>
      </c>
      <c r="AN7" s="193">
        <f t="shared" ref="AN7" si="27">AM7+1</f>
        <v>38</v>
      </c>
      <c r="AO7" s="193">
        <f>AN7+1</f>
        <v>39</v>
      </c>
      <c r="AP7" s="193">
        <f>AO7+1</f>
        <v>40</v>
      </c>
      <c r="AQ7" s="193">
        <f>AP7+1</f>
        <v>41</v>
      </c>
      <c r="AR7" s="193">
        <f t="shared" ref="AR7:AS7" si="28">AQ7+1</f>
        <v>42</v>
      </c>
      <c r="AS7" s="193">
        <f t="shared" si="28"/>
        <v>43</v>
      </c>
      <c r="AT7" s="431"/>
      <c r="AU7" s="431"/>
      <c r="AV7" s="431"/>
      <c r="AW7" s="431"/>
      <c r="AX7" s="431"/>
      <c r="AY7" s="431"/>
      <c r="AZ7" s="431"/>
      <c r="BA7" s="431"/>
      <c r="BB7" s="431"/>
      <c r="BC7" s="431"/>
      <c r="BD7" s="431"/>
      <c r="BE7" s="431"/>
      <c r="BF7" s="431"/>
      <c r="BG7" s="431"/>
      <c r="BH7" s="431"/>
      <c r="BI7" s="431"/>
      <c r="BJ7" s="431"/>
      <c r="BK7" s="431"/>
      <c r="BL7" s="431"/>
      <c r="BM7" s="431"/>
      <c r="BN7" s="431"/>
      <c r="BO7" s="431"/>
      <c r="BP7" s="431"/>
      <c r="BQ7" s="431"/>
      <c r="BR7" s="431"/>
      <c r="BS7" s="431"/>
      <c r="BT7" s="431"/>
      <c r="BU7" s="431"/>
      <c r="BV7" s="431"/>
      <c r="BW7" s="431"/>
      <c r="BX7" s="431"/>
      <c r="BY7" s="431"/>
      <c r="BZ7" s="431"/>
      <c r="CA7" s="431"/>
      <c r="CB7" s="431"/>
      <c r="CC7" s="431"/>
      <c r="CD7" s="431"/>
      <c r="CE7" s="431"/>
      <c r="CF7" s="431"/>
      <c r="CG7" s="431"/>
      <c r="CH7" s="431"/>
      <c r="CI7" s="427"/>
      <c r="CJ7" s="427"/>
      <c r="CK7" s="427"/>
      <c r="CL7" s="434"/>
      <c r="CM7" s="432"/>
      <c r="CN7" s="432"/>
      <c r="CO7" s="432"/>
      <c r="CP7" s="432"/>
      <c r="CQ7" s="432"/>
      <c r="CR7" s="432"/>
      <c r="CS7" s="432"/>
      <c r="CT7" s="432"/>
      <c r="CU7" s="432"/>
      <c r="CV7" s="432"/>
      <c r="CW7" s="432"/>
      <c r="CX7" s="432"/>
      <c r="CY7" s="432"/>
      <c r="CZ7" s="432"/>
      <c r="DA7" s="432"/>
      <c r="DB7" s="432"/>
      <c r="DC7" s="432"/>
      <c r="DD7" s="432"/>
      <c r="DE7" s="432"/>
      <c r="DF7" s="432"/>
      <c r="DG7" s="432"/>
      <c r="DH7" s="432"/>
      <c r="DI7" s="432"/>
      <c r="DJ7" s="432"/>
      <c r="DK7" s="432"/>
      <c r="DL7" s="432"/>
      <c r="DM7" s="432"/>
      <c r="DN7" s="432"/>
      <c r="DO7" s="432"/>
      <c r="DP7" s="432"/>
      <c r="DQ7" s="432"/>
      <c r="DR7" s="432"/>
      <c r="DS7" s="434"/>
      <c r="DT7" s="432"/>
      <c r="DU7" s="432"/>
      <c r="DV7" s="432"/>
      <c r="DW7" s="432"/>
      <c r="DX7" s="432"/>
      <c r="DY7" s="432"/>
      <c r="DZ7" s="432"/>
      <c r="EA7" s="432"/>
      <c r="EB7" s="432"/>
      <c r="EC7" s="432"/>
      <c r="ED7" s="432"/>
      <c r="EE7" s="432"/>
      <c r="EF7" s="432"/>
      <c r="EG7" s="432"/>
      <c r="EH7" s="432"/>
      <c r="EI7" s="432"/>
      <c r="EJ7" s="432"/>
      <c r="EK7" s="432"/>
      <c r="EL7" s="432"/>
      <c r="EM7" s="432"/>
      <c r="EN7" s="432"/>
      <c r="EO7" s="432"/>
      <c r="EP7" s="432"/>
      <c r="EQ7" s="432"/>
      <c r="ER7" s="432"/>
      <c r="ES7" s="432"/>
      <c r="ET7" s="432"/>
      <c r="EU7" s="432"/>
      <c r="EV7" s="432"/>
      <c r="EW7" s="432"/>
      <c r="EX7" s="432"/>
      <c r="EY7" s="432"/>
      <c r="EZ7" s="432"/>
      <c r="FA7" s="432"/>
      <c r="FB7" s="432"/>
      <c r="FC7" s="452"/>
      <c r="FD7" s="428"/>
    </row>
    <row r="8" spans="1:160" s="266" customFormat="1" ht="20.100000000000001" customHeight="1" x14ac:dyDescent="0.25">
      <c r="A8" s="246">
        <v>1</v>
      </c>
      <c r="B8" s="247"/>
      <c r="C8" s="248">
        <v>1</v>
      </c>
      <c r="D8" s="249"/>
      <c r="E8" s="250"/>
      <c r="F8" s="250"/>
      <c r="G8" s="251"/>
      <c r="H8" s="252"/>
      <c r="I8" s="253"/>
      <c r="J8" s="254"/>
      <c r="K8" s="254"/>
      <c r="L8" s="255">
        <f>ROUND(IF(OR(C8=1,C8=5,C8=6,C8=7),I8/$AG$2*J8/8*K8,IF(C8=8,I8/$AG$2*J8,IF(OR(C8=2,C8=3,C8=4),IF(I8="",IF(AT8="не",Систем!$D$13/rabdni*J8,Систем!$D$16/rabdni*J8),I8/rabdni*J8),IF(C8=9,I8/rabdni*J8/8*K8,"!!!")))),2)</f>
        <v>0</v>
      </c>
      <c r="M8" s="256"/>
      <c r="N8" s="256"/>
      <c r="O8" s="253"/>
      <c r="P8" s="253"/>
      <c r="Q8" s="257"/>
      <c r="R8" s="258">
        <f>ROUND(IF(LEN(G8)&lt;5,0,IF(LEN(G8)=5,IF(OR(C8=1,C8=5,C8=6,C8=7,C8=9),MID(G8,1,1)*L8*Q8,999),IF(LEN(G8)&gt;5,IF(OR(C8=1,C8=5,C8=6,C8=7,C8=9),MID(G8,1,2)*L8*Q8),888))),2)</f>
        <v>0</v>
      </c>
      <c r="S8" s="254"/>
      <c r="T8" s="253"/>
      <c r="U8" s="253"/>
      <c r="V8" s="255">
        <f>ROUND(IF(OR(C8=1,C8=5,C8=6,C8=7,C8=8),L8+O8+P8+R8+T8+U8,IF(C8=9,L8+R8+P8+U8+T8,L8+O8+R8+T8+U8)),2)</f>
        <v>0</v>
      </c>
      <c r="W8" s="254"/>
      <c r="X8" s="254"/>
      <c r="Y8" s="253"/>
      <c r="Z8" s="255">
        <f>V8+Y8</f>
        <v>0</v>
      </c>
      <c r="AA8" s="255">
        <f>ROUND(IF(OR(C8=1,C8=6,C8=7,C8=8),IF(V8&gt;maxod,maxod-P8-CI8,IF((V8-P8)&lt;(H8/rabdni/8)*K8*(J8+N8+S8),(H8/rabdni/8)*K8*(J8+N8+S8),V8-P8)),
IF(OR(C8=2,C8=3,C8=4),V8,
IF(C8=5,IF(V8&gt;maxod,maxod-P8,IF((V8-P8)&lt;(H8/rabdni/8)*K8*(J8+S8),(H8/rabdni/8)*K8*(J8+S8),V8-P8)),
IF(C8=9,IF(V8&gt;maxod,maxod,V8))))),2)</f>
        <v>0</v>
      </c>
      <c r="AB8" s="255">
        <f>ROUND(IF(OR(C8=1,C8=6,C8=7,C8=8),
IF(D8&lt;1960,AA8*Систем!$D$6,AA8*Систем!$E$6),
IF(C8=2,
IF(D8&lt;1960,Систем!$F$6*V8,Систем!$G$6*V8),
IF(C8=3,
IF(D8&lt;1960,V8*Систем!$H$6,V8*Систем!$I$6),
IF(C8=4,0,
IF(C8=5,
IF(D8&lt;1960,AA8*Систем!$L$6,AA8*Систем!$M$6),
IF(C8=9,IF(D8&lt;1960,V8*Систем!$N$6,V8*Систем!$O$6),"!!!")))))),2)</f>
        <v>0</v>
      </c>
      <c r="AC8" s="255">
        <f>ROUND(IF(OR(C8=1,C8=5,C8=6,C8=7,C8=8),IF(D8&lt;1960,P8*Систем!$D$7,P8*Систем!$E$7),IF(OR(C8=2,C8=3,C8=4,C8=9),0,"!!")),2)</f>
        <v>0</v>
      </c>
      <c r="AD8" s="255"/>
      <c r="AE8" s="255"/>
      <c r="AF8" s="255">
        <f>ROUND(IF(OR(C8=1,C8=5,C8=6,C8=7,C8=8),(AA8+P8)*Систем!$E$11+DQ8,IF(OR(C8=2,C8=3,C8=4),V8*Систем!$K$11+FB8,IF(C8=9,0,"!!"))),2)</f>
        <v>0</v>
      </c>
      <c r="AG8" s="255">
        <f>ROUND(IF(D8&lt;1960,0,IF(OR(C8=1,C8=5,C8=6,C8=7,C8=8),(AA8+P8)*Систем!$E$9,IF(C8=2,V8*Систем!$G$9,IF(C8=3,V8*Систем!$G$9,IF(C8=4,0,IF(C8=9,V8*Систем!$O$9,"!!")))))),2)</f>
        <v>0</v>
      </c>
      <c r="AH8" s="259"/>
      <c r="AI8" s="259"/>
      <c r="AJ8" s="255">
        <f>ROUND(IF(OR(C8=2,C8=3,C8=4),IF(AI8-SUM(AB8:AG8)-AH8&lt;0,0,AI8-SUM(AB8:AG8)-AH8),IF((V8-(AB8+AD8+AE8+AF8+AG8+AC8)-AH8+AI8-T8)&lt;0,0,V8-(AB8+AD8+AE8+AF8+AG8+AC8)-AH8+AI8-T8)),2)</f>
        <v>0</v>
      </c>
      <c r="AK8" s="255">
        <f>IF(AJ8&lt;0,0,ROUND(AJ8*dod,2))</f>
        <v>0</v>
      </c>
      <c r="AL8" s="253"/>
      <c r="AM8" s="258">
        <f>SUM(AB8:AG8)+AK8+AL8</f>
        <v>0</v>
      </c>
      <c r="AN8" s="255">
        <f>IF(OR(C8=2,C8=3,C8=4),IF(AI8-AM8&lt;0,0,AI8-AM8),IF((Z8-AM8+AI8)&lt;0,0-DQ8,(Z8-AM8+AI8)))</f>
        <v>0</v>
      </c>
      <c r="AO8" s="253"/>
      <c r="AP8" s="253"/>
      <c r="AQ8" s="255">
        <f>IF((AN8-AO8)&lt;0,0-DQ8,(AN8-AO8))</f>
        <v>0</v>
      </c>
      <c r="AR8" s="254"/>
      <c r="AS8" s="302" t="str">
        <f>CONCATENATE(A8," - ",B8)</f>
        <v xml:space="preserve">1 - </v>
      </c>
      <c r="AT8" s="260" t="s">
        <v>120</v>
      </c>
      <c r="AU8" s="260" t="s">
        <v>120</v>
      </c>
      <c r="AV8" s="260">
        <v>0</v>
      </c>
      <c r="AW8" s="260" t="s">
        <v>120</v>
      </c>
      <c r="AX8" s="303">
        <f>IF(AW8="да",IF(AQ8&lt;0,0,AQ8),0)</f>
        <v>0</v>
      </c>
      <c r="AY8" s="261"/>
      <c r="AZ8" s="261"/>
      <c r="BA8" s="261"/>
      <c r="BB8" s="262">
        <f>IF(AND(D8&lt;1960,C8=1),AA8,0)</f>
        <v>0</v>
      </c>
      <c r="BC8" s="262">
        <f>IF(AND(D8&gt;=1960,C8=1),AA8,0)</f>
        <v>0</v>
      </c>
      <c r="BD8" s="262">
        <f>IF(D8&lt;1960,IF(OR(C8=1,C8=5),P8,0),0)</f>
        <v>0</v>
      </c>
      <c r="BE8" s="262">
        <f>IF(D8&gt;=1960,IF(OR(C8=1,C8=5),P8,0),0)</f>
        <v>0</v>
      </c>
      <c r="BF8" s="262">
        <v>0</v>
      </c>
      <c r="BG8" s="262">
        <f>IF(AV8="",(Систем!$D$14/2)/$AG$2*M8,(Систем!$D$14/2)/$AG$2*(M8-AV8))</f>
        <v>0</v>
      </c>
      <c r="BH8" s="262">
        <f>IF(AV8="",0,(Систем!$D$14/2)/$AG$2*AV8)</f>
        <v>0</v>
      </c>
      <c r="BI8" s="262">
        <f>IF(AND(C8=2,D8&lt;1960,AT8="не"),AA8,0)</f>
        <v>0</v>
      </c>
      <c r="BJ8" s="262">
        <f>IF(AND(C8=2,D8&gt;=1960,AT8="не"),AA8,0)</f>
        <v>0</v>
      </c>
      <c r="BK8" s="262">
        <f>IF(AND(C8=2,D8&lt;1960,AT8="да"),AA8,0)</f>
        <v>0</v>
      </c>
      <c r="BL8" s="262">
        <f>IF(AND(C8=2,D8&gt;=1960,AT8="да"),AA8,0)</f>
        <v>0</v>
      </c>
      <c r="BM8" s="262">
        <f>IF(AND(C8=3,D8&lt;1960,AT8="не"),AA8,0)</f>
        <v>0</v>
      </c>
      <c r="BN8" s="262">
        <f>IF(AND(C8=3,D8&gt;=1960,AT8="не"),AA8,0)</f>
        <v>0</v>
      </c>
      <c r="BO8" s="262">
        <f>IF(AND(C8=3,D8&lt;1960,AT8="да"),AA8,0)</f>
        <v>0</v>
      </c>
      <c r="BP8" s="262">
        <f>IF(AND(C8=3,D8&gt;=1960,AT8="да"),AA8,0)</f>
        <v>0</v>
      </c>
      <c r="BQ8" s="262">
        <f>IF(C8=4,AA8,0)</f>
        <v>0</v>
      </c>
      <c r="BR8" s="262">
        <f>IF(C8=2,CI8+CJ8,0)</f>
        <v>0</v>
      </c>
      <c r="BS8" s="262">
        <f>IF(AND(D8&lt;1960,C8=5),AA8,0)</f>
        <v>0</v>
      </c>
      <c r="BT8" s="262">
        <f>IF(AND(D8&gt;=1960,C8=5),AA8,0)</f>
        <v>0</v>
      </c>
      <c r="BU8" s="262">
        <f>IF(AND(D8&lt;1960,C8=6),AA8,0)</f>
        <v>0</v>
      </c>
      <c r="BV8" s="262">
        <f>IF(AND(D8&gt;=1960,C8=6),AA8,0)</f>
        <v>0</v>
      </c>
      <c r="BW8" s="262">
        <f>IF(AND(D8&lt;1960,C8=7),AA8,0)</f>
        <v>0</v>
      </c>
      <c r="BX8" s="262">
        <f>IF(AND(D8&gt;=1960,C8=7),AA8,0)</f>
        <v>0</v>
      </c>
      <c r="BY8" s="262">
        <f>IF(AND(D8&lt;1960,C8=8),AA8,0)</f>
        <v>0</v>
      </c>
      <c r="BZ8" s="262">
        <f>IF(AND(D8&gt;=1960,C8=8),AA8,0)</f>
        <v>0</v>
      </c>
      <c r="CA8" s="262">
        <f>IF(AND(D8&lt;1960,C8=9),AA8,0)</f>
        <v>0</v>
      </c>
      <c r="CB8" s="262">
        <f>IF(AND(D8&gt;=1960,C8=9),AA8,0)</f>
        <v>0</v>
      </c>
      <c r="CC8" s="262">
        <f>IF(D8&lt;1960,IF(C8=6,P8,0),0)</f>
        <v>0</v>
      </c>
      <c r="CD8" s="262">
        <f>IF(D8&gt;=1960,IF(C8=6,P8,0),0)</f>
        <v>0</v>
      </c>
      <c r="CE8" s="262">
        <f>IF(D8&lt;1960,IF(C8=7,P8,0),0)</f>
        <v>0</v>
      </c>
      <c r="CF8" s="262">
        <f>IF(D8&gt;=1960,IF(C8=7,P8,0),0)</f>
        <v>0</v>
      </c>
      <c r="CG8" s="262">
        <f>IF(D8&lt;1960,IF(C8=8,P8,0),0)</f>
        <v>0</v>
      </c>
      <c r="CH8" s="262">
        <f>IF(D8&gt;=1960,IF(C8=8,P8,0),0)</f>
        <v>0</v>
      </c>
      <c r="CI8" s="262">
        <f>IF(OR(C8=3,C8=4),0,IF(AND(C8=2,AT8="да"),Систем!$D$16/$AG$2*W8,Систем!$D$14/$AG$2*W8))</f>
        <v>0</v>
      </c>
      <c r="CJ8" s="262">
        <f>IF(OR(C8=3,C8=4),0,IF(AND(C8=2,AT8="да"),Систем!$D$16/$AG$2*X8,Систем!$D$14/$AG$2*X8))</f>
        <v>0</v>
      </c>
      <c r="CK8" s="262">
        <f>IF(AND(AU8="да",OR(C8=1,C8=5,C8=6,C8=7)),IF(AA8&gt;Систем!$D$12,Систем!$D$12,AA8),0)</f>
        <v>0</v>
      </c>
      <c r="CL8" s="262"/>
      <c r="CM8" s="263">
        <f>ROUND(BB8*$CM$2,2)</f>
        <v>0</v>
      </c>
      <c r="CN8" s="263">
        <f>ROUND(BC8*$CN$2,2)</f>
        <v>0</v>
      </c>
      <c r="CO8" s="263">
        <f>ROUND(BD8*$CO$2,2)</f>
        <v>0</v>
      </c>
      <c r="CP8" s="263">
        <f>ROUND(BE8*$CP$2,2)</f>
        <v>0</v>
      </c>
      <c r="CQ8" s="263">
        <f>ROUND(CC8*$CQ$2,2)</f>
        <v>0</v>
      </c>
      <c r="CR8" s="263">
        <f>ROUND(CD8*$CR$2,2)</f>
        <v>0</v>
      </c>
      <c r="CS8" s="263">
        <f>ROUND(CE8*$CS$2,2)</f>
        <v>0</v>
      </c>
      <c r="CT8" s="263">
        <f>ROUND(CF8*$CT$2,2)</f>
        <v>0</v>
      </c>
      <c r="CU8" s="263">
        <f>ROUND(CG8*$CU$2,2)</f>
        <v>0</v>
      </c>
      <c r="CV8" s="263">
        <f>ROUND(CH8*$CV$2,2)</f>
        <v>0</v>
      </c>
      <c r="CW8" s="263">
        <f>ROUND(BS8*$CW$2,2)</f>
        <v>0</v>
      </c>
      <c r="CX8" s="263">
        <f>ROUND(BT8*$CX$2,2)</f>
        <v>0</v>
      </c>
      <c r="CY8" s="263">
        <f>ROUND(BU8*$CY$2,2)</f>
        <v>0</v>
      </c>
      <c r="CZ8" s="263">
        <f>ROUND(BV8*$CZ$2,2)</f>
        <v>0</v>
      </c>
      <c r="DA8" s="263">
        <f>ROUND(BW8*$DA$2,2)</f>
        <v>0</v>
      </c>
      <c r="DB8" s="263">
        <f>ROUND(BX8*$DB$2,2)</f>
        <v>0</v>
      </c>
      <c r="DC8" s="263">
        <f>ROUND(BY8*$DC$2,2)+ROUND(BY8*$DC$3,2)+ROUND(BY8*$DC$4,2)</f>
        <v>0</v>
      </c>
      <c r="DD8" s="263">
        <f>ROUND(BZ8*$DD$2,2)</f>
        <v>0</v>
      </c>
      <c r="DE8" s="263">
        <f>ROUND(CA8*$DE$2,2)</f>
        <v>0</v>
      </c>
      <c r="DF8" s="263">
        <f>ROUND(CB8*$DF$2,2)</f>
        <v>0</v>
      </c>
      <c r="DG8" s="263">
        <f>ROUND(SUM(BB8:BC8,BS8:BT8,BU8:BZ8)*$DG$2,2)</f>
        <v>0</v>
      </c>
      <c r="DH8" s="263">
        <f>ROUND(BF8*$DH$2,2)</f>
        <v>0</v>
      </c>
      <c r="DI8" s="263">
        <f>ROUND(SUM(BC8,BE8,BT8,BV8,BX8,CD8,CF8,CB8)*$DI$2,2)</f>
        <v>0</v>
      </c>
      <c r="DJ8" s="263">
        <f>ROUND(SUM(BZ8,CH8)*$DJ$2,2)</f>
        <v>0</v>
      </c>
      <c r="DK8" s="263">
        <f>ROUND(SUM(BU8:BV8,CC8:CD8)*$DK$2,2)</f>
        <v>0</v>
      </c>
      <c r="DL8" s="263">
        <f>ROUND(SUM(BW8:BX8,CE8:CF8)*$DL$2,2)</f>
        <v>0</v>
      </c>
      <c r="DM8" s="263">
        <f>ROUND(SUM(BB8:BE8,BS8:BT8,BU8:BX8,CC8:CF8)*$DM$2,2)</f>
        <v>0</v>
      </c>
      <c r="DN8" s="263">
        <f>ROUND(SUM(BY8:BZ8,CG8:CH8)*$DN$2,2)</f>
        <v>0</v>
      </c>
      <c r="DO8" s="263">
        <f>ROUND((CI8+CJ8-BR8)*$DO$2,2)</f>
        <v>0</v>
      </c>
      <c r="DP8" s="263">
        <f>ROUND(BG8*$DP$2,2)</f>
        <v>0</v>
      </c>
      <c r="DQ8" s="263">
        <f>ROUND(BH8*$DQ$2,2)</f>
        <v>0</v>
      </c>
      <c r="DR8" s="263">
        <f>ROUND(CK8*$DR$2,2)</f>
        <v>0</v>
      </c>
      <c r="DS8" s="263"/>
      <c r="DT8" s="263">
        <f>ROUND(BB8*$DT$2,2)</f>
        <v>0</v>
      </c>
      <c r="DU8" s="263">
        <f>ROUND(BC8*$DU$2,2)</f>
        <v>0</v>
      </c>
      <c r="DV8" s="263">
        <f>ROUND(BD8*$DV$2,2)</f>
        <v>0</v>
      </c>
      <c r="DW8" s="263">
        <f>ROUND(BE8*$DW$2,2)</f>
        <v>0</v>
      </c>
      <c r="DX8" s="263">
        <f>ROUND(CC8*$DX$2,2)</f>
        <v>0</v>
      </c>
      <c r="DY8" s="263">
        <f>ROUND(CD8*$DY$2,2)</f>
        <v>0</v>
      </c>
      <c r="DZ8" s="263">
        <f>ROUND(CE8*$DZ$2,2)</f>
        <v>0</v>
      </c>
      <c r="EA8" s="263">
        <f>ROUND(CF8*$EA$2,2)</f>
        <v>0</v>
      </c>
      <c r="EB8" s="263">
        <f>ROUND(CG8*$EB$2,2)</f>
        <v>0</v>
      </c>
      <c r="EC8" s="263">
        <f>ROUND(CH8*$EC$2,2)</f>
        <v>0</v>
      </c>
      <c r="ED8" s="263">
        <f>ROUND(BS8*$ED$2,2)</f>
        <v>0</v>
      </c>
      <c r="EE8" s="263">
        <f>ROUND(BT8*$EE$2,2)</f>
        <v>0</v>
      </c>
      <c r="EF8" s="263">
        <f>ROUND(BU8*$EF$2,2)</f>
        <v>0</v>
      </c>
      <c r="EG8" s="263">
        <f>ROUND(BV8*$EG$2,2)</f>
        <v>0</v>
      </c>
      <c r="EH8" s="263">
        <f>ROUND(BW8*$EH$2,2)</f>
        <v>0</v>
      </c>
      <c r="EI8" s="263">
        <f>ROUND(BX8*$EI$2,2)</f>
        <v>0</v>
      </c>
      <c r="EJ8" s="263">
        <f>ROUND(BY8*$EJ$2,2)</f>
        <v>0</v>
      </c>
      <c r="EK8" s="263">
        <f>ROUND(BZ8*$EK$2,2)</f>
        <v>0</v>
      </c>
      <c r="EL8" s="263">
        <f>ROUND(CA8*$EL$2,2)</f>
        <v>0</v>
      </c>
      <c r="EM8" s="263">
        <f>ROUND(CB8*$EM$2,2)</f>
        <v>0</v>
      </c>
      <c r="EN8" s="263">
        <f>ROUND(SUM(BC8,BE8,BT8,BV8,BX8,CD8,CF8,CB8)*$EN$2,2)</f>
        <v>0</v>
      </c>
      <c r="EO8" s="263">
        <f>ROUND(SUM(BZ8,CH8)*$EO$2,2)</f>
        <v>0</v>
      </c>
      <c r="EP8" s="263">
        <f>ROUND(BI8*$EP$2,2)</f>
        <v>0</v>
      </c>
      <c r="EQ8" s="263">
        <f>ROUND(BJ8*$EQ$2,2)</f>
        <v>0</v>
      </c>
      <c r="ER8" s="263">
        <f>ROUND(BK8*$ER$2,2)</f>
        <v>0</v>
      </c>
      <c r="ES8" s="263">
        <f>ROUND(BL8*$ES$2,2)</f>
        <v>0</v>
      </c>
      <c r="ET8" s="263">
        <f>ROUND(BM8*$ET$2,2)</f>
        <v>0</v>
      </c>
      <c r="EU8" s="263">
        <f>ROUND(BN8*$EU$2,2)</f>
        <v>0</v>
      </c>
      <c r="EV8" s="263">
        <f>ROUND(BO8*$EV$2,2)</f>
        <v>0</v>
      </c>
      <c r="EW8" s="263">
        <f>ROUND(BP8*$EW$2,2)</f>
        <v>0</v>
      </c>
      <c r="EX8" s="263">
        <f>ROUND((BJ8+BN8+BL8+BP8)*$EX$2,2)</f>
        <v>0</v>
      </c>
      <c r="EY8" s="263">
        <f>ROUND(SUM(BB8:BE8,BS8:BT8,BU8:BX8,CC8:CF8)*$EY$2,2)</f>
        <v>0</v>
      </c>
      <c r="EZ8" s="263">
        <f>ROUND(SUM(BY8:BZ8,CG8:CH8)*$EZ$2,2)</f>
        <v>0</v>
      </c>
      <c r="FA8" s="263">
        <f>ROUND(SUM(BI8:BQ8)*$FA$2,2)</f>
        <v>0</v>
      </c>
      <c r="FB8" s="263">
        <f>ROUND(BR8*$FB$2,2)</f>
        <v>0</v>
      </c>
      <c r="FC8" s="264"/>
      <c r="FD8" s="265"/>
    </row>
    <row r="9" spans="1:160" s="266" customFormat="1" ht="20.100000000000001" customHeight="1" x14ac:dyDescent="0.25">
      <c r="A9" s="246">
        <v>2</v>
      </c>
      <c r="B9" s="247"/>
      <c r="C9" s="248">
        <v>1</v>
      </c>
      <c r="D9" s="249"/>
      <c r="E9" s="250"/>
      <c r="F9" s="250"/>
      <c r="G9" s="251"/>
      <c r="H9" s="252"/>
      <c r="I9" s="253"/>
      <c r="J9" s="254"/>
      <c r="K9" s="254"/>
      <c r="L9" s="255">
        <f>ROUND(IF(OR(C9=1,C9=5,C9=6,C9=7),I9/$AG$2*J9/8*K9,IF(C9=8,I9/$AG$2*J9,IF(OR(C9=2,C9=3,C9=4),IF(I9="",IF(AT9="не",Систем!$D$13/rabdni*J9,Систем!$D$16/rabdni*J9),I9/rabdni*J9),IF(C9=9,I9/rabdni*J9/8*K9,"!!!")))),2)</f>
        <v>0</v>
      </c>
      <c r="M9" s="256"/>
      <c r="N9" s="256"/>
      <c r="O9" s="253"/>
      <c r="P9" s="253"/>
      <c r="Q9" s="257"/>
      <c r="R9" s="258">
        <f>ROUND(IF(LEN(G9)&lt;5,0,IF(LEN(G9)=5,IF(OR(C9=1,C9=5,C9=6,C9=7,C9=9),MID(G9,1,1)*L9*Q9,999),IF(LEN(G9)&gt;5,IF(OR(C9=1,C9=5,C9=6,C9=7,C9=9),MID(G9,1,2)*L9*Q9),888))),2)</f>
        <v>0</v>
      </c>
      <c r="S9" s="254"/>
      <c r="T9" s="253"/>
      <c r="U9" s="253"/>
      <c r="V9" s="255">
        <f>ROUND(IF(OR(C9=1,C9=5,C9=6,C9=7,C9=8),L9+O9+P9+R9+T9+U9,IF(C9=9,L9+R9+P9+U9+T9,L9+O9+R9+T9+U9)),2)</f>
        <v>0</v>
      </c>
      <c r="W9" s="254"/>
      <c r="X9" s="254"/>
      <c r="Y9" s="253"/>
      <c r="Z9" s="255">
        <f>V9+Y9</f>
        <v>0</v>
      </c>
      <c r="AA9" s="255">
        <f>ROUND(IF(OR(C9=1,C9=6,C9=7,C9=8),IF(V9&gt;maxod,maxod-P9-CI9,IF((V9-P9)&lt;(H9/rabdni/8)*K9*(J9+N9+S9),(H9/rabdni/8)*K9*(J9+N9+S9),V9-P9)),
IF(OR(C9=2,C9=3,C9=4),V9,
IF(C9=5,IF(V9&gt;maxod,maxod-P9,IF((V9-P9)&lt;(H9/rabdni/8)*K9*(J9+S9),(H9/rabdni/8)*K9*(J9+S9),V9-P9)),
IF(C9=9,IF(V9&gt;maxod,maxod,V9))))),2)</f>
        <v>0</v>
      </c>
      <c r="AB9" s="255">
        <f>ROUND(IF(OR(C9=1,C9=6,C9=7,C9=8),
IF(D9&lt;1960,AA9*Систем!$D$6,AA9*Систем!$E$6),
IF(C9=2,
IF(D9&lt;1960,Систем!$F$6*V9,Систем!$G$6*V9),
IF(C9=3,
IF(D9&lt;1960,V9*Систем!$H$6,V9*Систем!$I$6),
IF(C9=4,0,
IF(C9=5,
IF(D9&lt;1960,AA9*Систем!$L$6,AA9*Систем!$M$6),
IF(C9=9,IF(D9&lt;1960,V9*Систем!$N$6,V9*Систем!$O$6),"!!!")))))),2)</f>
        <v>0</v>
      </c>
      <c r="AC9" s="255">
        <f>ROUND(IF(OR(C9=1,C9=5,C9=6,C9=7,C9=8),IF(D9&lt;1960,P9*Систем!$D$7,P9*Систем!$E$7),IF(OR(C9=2,C9=3,C9=4,C9=9),0,"!!")),2)</f>
        <v>0</v>
      </c>
      <c r="AD9" s="255"/>
      <c r="AE9" s="255"/>
      <c r="AF9" s="255">
        <f>ROUND(IF(OR(C9=1,C9=5,C9=6,C9=7,C9=8),(AA9+P9)*Систем!$E$11+DQ9,IF(OR(C9=2,C9=3,C9=4),V9*Систем!$K$11+FB9,IF(C9=9,0,"!!"))),2)</f>
        <v>0</v>
      </c>
      <c r="AG9" s="255">
        <f>ROUND(IF(D9&lt;1960,0,IF(OR(C9=1,C9=5,C9=6,C9=7,C9=8),(AA9+P9)*Систем!$E$9,IF(C9=2,V9*Систем!$G$9,IF(C9=3,V9*Систем!$G$9,IF(C9=4,0,IF(C9=9,V9*Систем!$O$9,"!!")))))),2)</f>
        <v>0</v>
      </c>
      <c r="AH9" s="259"/>
      <c r="AI9" s="259"/>
      <c r="AJ9" s="255">
        <f>ROUND(IF(OR(C9=2,C9=3,C9=4),IF(AI9-SUM(AB9:AG9)-AH9&lt;0,0,AI9-SUM(AB9:AG9)-AH9),IF((V9-(AB9+AD9+AE9+AF9+AG9+AC9)-AH9+AI9-T9)&lt;0,0,V9-(AB9+AD9+AE9+AF9+AG9+AC9)-AH9+AI9-T9)),2)</f>
        <v>0</v>
      </c>
      <c r="AK9" s="255">
        <f>IF(AJ9&lt;0,0,ROUND(AJ9*dod,2))</f>
        <v>0</v>
      </c>
      <c r="AL9" s="253"/>
      <c r="AM9" s="258">
        <f>SUM(AB9:AG9)+AK9+AL9</f>
        <v>0</v>
      </c>
      <c r="AN9" s="255">
        <f>IF(OR(C9=2,C9=3,C9=4),IF(AI9-AM9&lt;0,0,AI9-AM9),IF((Z9-AM9+AI9)&lt;0,0-DQ9,(Z9-AM9+AI9)))</f>
        <v>0</v>
      </c>
      <c r="AO9" s="253"/>
      <c r="AP9" s="253"/>
      <c r="AQ9" s="255">
        <f>IF((AN9-AO9)&lt;0,0-DQ9,(AN9-AO9))</f>
        <v>0</v>
      </c>
      <c r="AR9" s="254"/>
      <c r="AS9" s="302" t="str">
        <f>CONCATENATE(A9," - ",B9)</f>
        <v xml:space="preserve">2 - </v>
      </c>
      <c r="AT9" s="260" t="s">
        <v>120</v>
      </c>
      <c r="AU9" s="260" t="s">
        <v>120</v>
      </c>
      <c r="AV9" s="260">
        <v>0</v>
      </c>
      <c r="AW9" s="260" t="s">
        <v>120</v>
      </c>
      <c r="AX9" s="303">
        <f>IF(AW9="да",IF(AQ9&lt;0,0,AQ9),0)</f>
        <v>0</v>
      </c>
      <c r="AY9" s="261"/>
      <c r="AZ9" s="261"/>
      <c r="BA9" s="261"/>
      <c r="BB9" s="262">
        <f>IF(AND(D9&lt;1960,C9=1),AA9,0)</f>
        <v>0</v>
      </c>
      <c r="BC9" s="262">
        <f>IF(AND(D9&gt;=1960,C9=1),AA9,0)</f>
        <v>0</v>
      </c>
      <c r="BD9" s="262">
        <f>IF(D9&lt;1960,IF(OR(C9=1,C9=5),P9,0),0)</f>
        <v>0</v>
      </c>
      <c r="BE9" s="262">
        <f>IF(D9&gt;=1960,IF(OR(C9=1,C9=5),P9,0),0)</f>
        <v>0</v>
      </c>
      <c r="BF9" s="262">
        <v>0</v>
      </c>
      <c r="BG9" s="262">
        <f>IF(AV9="",(Систем!$D$14/2)/$AG$2*M9,(Систем!$D$14/2)/$AG$2*(M9-AV9))</f>
        <v>0</v>
      </c>
      <c r="BH9" s="262">
        <f>IF(AV9="",0,(Систем!$D$14/2)/$AG$2*AV9)</f>
        <v>0</v>
      </c>
      <c r="BI9" s="262">
        <f>IF(AND(C9=2,D9&lt;1960,AT9="не"),AA9,0)</f>
        <v>0</v>
      </c>
      <c r="BJ9" s="262">
        <f>IF(AND(C9=2,D9&gt;=1960,AT9="не"),AA9,0)</f>
        <v>0</v>
      </c>
      <c r="BK9" s="262">
        <f>IF(AND(C9=2,D9&lt;1960,AT9="да"),AA9,0)</f>
        <v>0</v>
      </c>
      <c r="BL9" s="262">
        <f>IF(AND(C9=2,D9&gt;=1960,AT9="да"),AA9,0)</f>
        <v>0</v>
      </c>
      <c r="BM9" s="262">
        <f>IF(AND(C9=3,D9&lt;1960,AT9="не"),AA9,0)</f>
        <v>0</v>
      </c>
      <c r="BN9" s="262">
        <f>IF(AND(C9=3,D9&gt;=1960,AT9="не"),AA9,0)</f>
        <v>0</v>
      </c>
      <c r="BO9" s="262">
        <f>IF(AND(C9=3,D9&lt;1960,AT9="да"),AA9,0)</f>
        <v>0</v>
      </c>
      <c r="BP9" s="262">
        <f>IF(AND(C9=3,D9&gt;=1960,AT9="да"),AA9,0)</f>
        <v>0</v>
      </c>
      <c r="BQ9" s="262">
        <f>IF(C9=4,AA9,0)</f>
        <v>0</v>
      </c>
      <c r="BR9" s="262">
        <f>IF(C9=2,CI9+CJ9,0)</f>
        <v>0</v>
      </c>
      <c r="BS9" s="262">
        <f>IF(AND(D9&lt;1960,C9=5),AA9,0)</f>
        <v>0</v>
      </c>
      <c r="BT9" s="262">
        <f>IF(AND(D9&gt;=1960,C9=5),AA9,0)</f>
        <v>0</v>
      </c>
      <c r="BU9" s="262">
        <f>IF(AND(D9&lt;1960,C9=6),AA9,0)</f>
        <v>0</v>
      </c>
      <c r="BV9" s="262">
        <f>IF(AND(D9&gt;=1960,C9=6),AA9,0)</f>
        <v>0</v>
      </c>
      <c r="BW9" s="262">
        <f>IF(AND(D9&lt;1960,C9=7),AA9,0)</f>
        <v>0</v>
      </c>
      <c r="BX9" s="262">
        <f>IF(AND(D9&gt;=1960,C9=7),AA9,0)</f>
        <v>0</v>
      </c>
      <c r="BY9" s="262">
        <f>IF(AND(D9&lt;1960,C9=8),AA9,0)</f>
        <v>0</v>
      </c>
      <c r="BZ9" s="262">
        <f>IF(AND(D9&gt;=1960,C9=8),AA9,0)</f>
        <v>0</v>
      </c>
      <c r="CA9" s="262">
        <f>IF(AND(D9&lt;1960,C9=9),AA9,0)</f>
        <v>0</v>
      </c>
      <c r="CB9" s="262">
        <f>IF(AND(D9&gt;=1960,C9=9),AA9,0)</f>
        <v>0</v>
      </c>
      <c r="CC9" s="262">
        <f>IF(D9&lt;1960,IF(C9=6,P9,0),0)</f>
        <v>0</v>
      </c>
      <c r="CD9" s="262">
        <f>IF(D9&gt;=1960,IF(C9=6,P9,0),0)</f>
        <v>0</v>
      </c>
      <c r="CE9" s="262">
        <f>IF(D9&lt;1960,IF(C9=7,P9,0),0)</f>
        <v>0</v>
      </c>
      <c r="CF9" s="262">
        <f>IF(D9&gt;=1960,IF(C9=7,P9,0),0)</f>
        <v>0</v>
      </c>
      <c r="CG9" s="262">
        <f>IF(D9&lt;1960,IF(C9=8,P9,0),0)</f>
        <v>0</v>
      </c>
      <c r="CH9" s="262">
        <f>IF(D9&gt;=1960,IF(C9=8,P9,0),0)</f>
        <v>0</v>
      </c>
      <c r="CI9" s="262">
        <f>IF(OR(C9=3,C9=4),0,IF(AND(C9=2,AT9="да"),Систем!$D$16/$AG$2*W9,Систем!$D$14/$AG$2*W9))</f>
        <v>0</v>
      </c>
      <c r="CJ9" s="262">
        <f>IF(OR(C9=3,C9=4),0,IF(AND(C9=2,AT9="да"),Систем!$D$16/$AG$2*X9,Систем!$D$14/$AG$2*X9))</f>
        <v>0</v>
      </c>
      <c r="CK9" s="262">
        <f>IF(AND(AU9="да",OR(C9=1,C9=5,C9=6,C9=7)),IF(AA9&gt;Систем!$D$12,Систем!$D$12,AA9),0)</f>
        <v>0</v>
      </c>
      <c r="CL9" s="262"/>
      <c r="CM9" s="263">
        <f>ROUND(BB9*$CM$2,2)</f>
        <v>0</v>
      </c>
      <c r="CN9" s="263">
        <f>ROUND(BC9*$CN$2,2)</f>
        <v>0</v>
      </c>
      <c r="CO9" s="263">
        <f>ROUND(BD9*$CO$2,2)</f>
        <v>0</v>
      </c>
      <c r="CP9" s="263">
        <f>ROUND(BE9*$CP$2,2)</f>
        <v>0</v>
      </c>
      <c r="CQ9" s="263">
        <f>ROUND(CC9*$CQ$2,2)</f>
        <v>0</v>
      </c>
      <c r="CR9" s="263">
        <f>ROUND(CD9*$CR$2,2)</f>
        <v>0</v>
      </c>
      <c r="CS9" s="263">
        <f>ROUND(CE9*$CS$2,2)</f>
        <v>0</v>
      </c>
      <c r="CT9" s="263">
        <f>ROUND(CF9*$CT$2,2)</f>
        <v>0</v>
      </c>
      <c r="CU9" s="263">
        <f>ROUND(CG9*$CU$2,2)</f>
        <v>0</v>
      </c>
      <c r="CV9" s="263">
        <f>ROUND(CH9*$CV$2,2)</f>
        <v>0</v>
      </c>
      <c r="CW9" s="263">
        <f>ROUND(BS9*$CW$2,2)</f>
        <v>0</v>
      </c>
      <c r="CX9" s="263">
        <f>ROUND(BT9*$CX$2,2)</f>
        <v>0</v>
      </c>
      <c r="CY9" s="263">
        <f>ROUND(BU9*$CY$2,2)</f>
        <v>0</v>
      </c>
      <c r="CZ9" s="263">
        <f>ROUND(BV9*$CZ$2,2)</f>
        <v>0</v>
      </c>
      <c r="DA9" s="263">
        <f>ROUND(BW9*$DA$2,2)</f>
        <v>0</v>
      </c>
      <c r="DB9" s="263">
        <f>ROUND(BX9*$DB$2,2)</f>
        <v>0</v>
      </c>
      <c r="DC9" s="263">
        <f>ROUND(BY9*$DC$2,2)+ROUND(BY9*$DC$3,2)+ROUND(BY9*$DC$4,2)</f>
        <v>0</v>
      </c>
      <c r="DD9" s="263">
        <f>ROUND(BZ9*$DD$2,2)</f>
        <v>0</v>
      </c>
      <c r="DE9" s="263">
        <f>ROUND(CA9*$DE$2,2)</f>
        <v>0</v>
      </c>
      <c r="DF9" s="263">
        <f>ROUND(CB9*$DF$2,2)</f>
        <v>0</v>
      </c>
      <c r="DG9" s="263">
        <f>ROUND(SUM(BB9:BC9,BS9:BT9,BU9:BZ9)*$DG$2,2)</f>
        <v>0</v>
      </c>
      <c r="DH9" s="263">
        <f>ROUND(BF9*$DH$2,2)</f>
        <v>0</v>
      </c>
      <c r="DI9" s="263">
        <f>ROUND(SUM(BC9,BE9,BT9,BV9,BX9,CD9,CF9,CB9)*$DI$2,2)</f>
        <v>0</v>
      </c>
      <c r="DJ9" s="263">
        <f>ROUND(SUM(BZ9,CH9)*$DJ$2,2)</f>
        <v>0</v>
      </c>
      <c r="DK9" s="263">
        <f>ROUND(SUM(BU9:BV9,CC9:CD9)*$DK$2,2)</f>
        <v>0</v>
      </c>
      <c r="DL9" s="263">
        <f>ROUND(SUM(BW9:BX9,CE9:CF9)*$DL$2,2)</f>
        <v>0</v>
      </c>
      <c r="DM9" s="263">
        <f>ROUND(SUM(BB9:BE9,BS9:BT9,BU9:BX9,CC9:CF9)*$DM$2,2)</f>
        <v>0</v>
      </c>
      <c r="DN9" s="263">
        <f>ROUND(SUM(BY9:BZ9,CG9:CH9)*$DN$2,2)</f>
        <v>0</v>
      </c>
      <c r="DO9" s="263">
        <f>ROUND((CI9+CJ9-BR9)*$DO$2,2)</f>
        <v>0</v>
      </c>
      <c r="DP9" s="263">
        <f>ROUND(BG9*$DP$2,2)</f>
        <v>0</v>
      </c>
      <c r="DQ9" s="263">
        <f>ROUND(BH9*$DQ$2,2)</f>
        <v>0</v>
      </c>
      <c r="DR9" s="263">
        <f>ROUND(CK9*$DR$2,2)</f>
        <v>0</v>
      </c>
      <c r="DS9" s="263"/>
      <c r="DT9" s="263">
        <f>ROUND(BB9*$DT$2,2)</f>
        <v>0</v>
      </c>
      <c r="DU9" s="263">
        <f>ROUND(BC9*$DU$2,2)</f>
        <v>0</v>
      </c>
      <c r="DV9" s="263">
        <f>ROUND(BD9*$DV$2,2)</f>
        <v>0</v>
      </c>
      <c r="DW9" s="263">
        <f>ROUND(BE9*$DW$2,2)</f>
        <v>0</v>
      </c>
      <c r="DX9" s="263">
        <f>ROUND(CC9*$DX$2,2)</f>
        <v>0</v>
      </c>
      <c r="DY9" s="263">
        <f>ROUND(CD9*$DY$2,2)</f>
        <v>0</v>
      </c>
      <c r="DZ9" s="263">
        <f>ROUND(CE9*$DZ$2,2)</f>
        <v>0</v>
      </c>
      <c r="EA9" s="263">
        <f>ROUND(CF9*$EA$2,2)</f>
        <v>0</v>
      </c>
      <c r="EB9" s="263">
        <f>ROUND(CG9*$EB$2,2)</f>
        <v>0</v>
      </c>
      <c r="EC9" s="263">
        <f>ROUND(CH9*$EC$2,2)</f>
        <v>0</v>
      </c>
      <c r="ED9" s="263">
        <f>ROUND(BS9*$ED$2,2)</f>
        <v>0</v>
      </c>
      <c r="EE9" s="263">
        <f>ROUND(BT9*$EE$2,2)</f>
        <v>0</v>
      </c>
      <c r="EF9" s="263">
        <f>ROUND(BU9*$EF$2,2)</f>
        <v>0</v>
      </c>
      <c r="EG9" s="263">
        <f>ROUND(BV9*$EG$2,2)</f>
        <v>0</v>
      </c>
      <c r="EH9" s="263">
        <f>ROUND(BW9*$EH$2,2)</f>
        <v>0</v>
      </c>
      <c r="EI9" s="263">
        <f>ROUND(BX9*$EI$2,2)</f>
        <v>0</v>
      </c>
      <c r="EJ9" s="263">
        <f>ROUND(BY9*$EJ$2,2)</f>
        <v>0</v>
      </c>
      <c r="EK9" s="263">
        <f>ROUND(BZ9*$EK$2,2)</f>
        <v>0</v>
      </c>
      <c r="EL9" s="263">
        <f>ROUND(CA9*$EL$2,2)</f>
        <v>0</v>
      </c>
      <c r="EM9" s="263">
        <f>ROUND(CB9*$EM$2,2)</f>
        <v>0</v>
      </c>
      <c r="EN9" s="263">
        <f>ROUND(SUM(BC9,BE9,BT9,BV9,BX9,CD9,CF9,CB9)*$EN$2,2)</f>
        <v>0</v>
      </c>
      <c r="EO9" s="263">
        <f>ROUND(SUM(BZ9,CH9)*$EO$2,2)</f>
        <v>0</v>
      </c>
      <c r="EP9" s="263">
        <f>ROUND(BI9*$EP$2,2)</f>
        <v>0</v>
      </c>
      <c r="EQ9" s="263">
        <f>ROUND(BJ9*$EQ$2,2)</f>
        <v>0</v>
      </c>
      <c r="ER9" s="263">
        <f>ROUND(BK9*$ER$2,2)</f>
        <v>0</v>
      </c>
      <c r="ES9" s="263">
        <f>ROUND(BL9*$ES$2,2)</f>
        <v>0</v>
      </c>
      <c r="ET9" s="263">
        <f>ROUND(BM9*$ET$2,2)</f>
        <v>0</v>
      </c>
      <c r="EU9" s="263">
        <f>ROUND(BN9*$EU$2,2)</f>
        <v>0</v>
      </c>
      <c r="EV9" s="263">
        <f>ROUND(BO9*$EV$2,2)</f>
        <v>0</v>
      </c>
      <c r="EW9" s="263">
        <f>ROUND(BP9*$EW$2,2)</f>
        <v>0</v>
      </c>
      <c r="EX9" s="263">
        <f>ROUND((BJ9+BN9+BL9+BP9)*$EX$2,2)</f>
        <v>0</v>
      </c>
      <c r="EY9" s="263">
        <f>ROUND(SUM(BB9:BE9,BS9:BT9,BU9:BX9,CC9:CF9)*$EY$2,2)</f>
        <v>0</v>
      </c>
      <c r="EZ9" s="263">
        <f>ROUND(SUM(BY9:BZ9,CG9:CH9)*$EZ$2,2)</f>
        <v>0</v>
      </c>
      <c r="FA9" s="263">
        <f>ROUND(SUM(BI9:BQ9)*$FA$2,2)</f>
        <v>0</v>
      </c>
      <c r="FB9" s="263">
        <f>ROUND(BR9*$FB$2,2)</f>
        <v>0</v>
      </c>
      <c r="FD9" s="265"/>
    </row>
    <row r="10" spans="1:160" s="279" customFormat="1" ht="20.100000000000001" hidden="1" customHeight="1" x14ac:dyDescent="0.25">
      <c r="A10" s="246">
        <v>4</v>
      </c>
      <c r="B10" s="267" t="s">
        <v>112</v>
      </c>
      <c r="C10" s="268"/>
      <c r="D10" s="269"/>
      <c r="E10" s="270"/>
      <c r="F10" s="270"/>
      <c r="G10" s="271"/>
      <c r="H10" s="252"/>
      <c r="I10" s="255"/>
      <c r="J10" s="271"/>
      <c r="K10" s="271"/>
      <c r="L10" s="272"/>
      <c r="M10" s="273"/>
      <c r="N10" s="273"/>
      <c r="O10" s="272"/>
      <c r="P10" s="272"/>
      <c r="Q10" s="272"/>
      <c r="R10" s="253">
        <f>IF(LEN(G10)&lt;5,0,IF(LEN(G10)=5,IF(OR(C10=1,C10=5,C10=6,C10=7),MID(G10,1,1)*L10*Q10,999),IF(LEN(G10)&gt;5,IF(OR(C10=1,C10=5,C10=6,C10=7),MID(G10,1,2)*L10*Q10),888)))</f>
        <v>0</v>
      </c>
      <c r="S10" s="272"/>
      <c r="T10" s="272"/>
      <c r="U10" s="272"/>
      <c r="V10" s="255">
        <f>IF(OR(C10=1,C10=5,C10=6,C10=7),L10+O10+P10++R10+T10,L10+O10++R10+T10)</f>
        <v>0</v>
      </c>
      <c r="W10" s="272"/>
      <c r="X10" s="274"/>
      <c r="Y10" s="272"/>
      <c r="Z10" s="272"/>
      <c r="AA10" s="272">
        <f>IF(V10&lt;(H10/$AG$2/8*K10)*(J10+N10),(H10/$AG$2/8*K10)*(J10+N10),IF(V10&gt;Систем!$D$12,Систем!$D$12,V10+O10-P10))</f>
        <v>0</v>
      </c>
      <c r="AB10" s="272"/>
      <c r="AC10" s="272"/>
      <c r="AD10" s="272"/>
      <c r="AE10" s="272"/>
      <c r="AF10" s="272"/>
      <c r="AG10" s="272"/>
      <c r="AH10" s="272"/>
      <c r="AI10" s="272"/>
      <c r="AJ10" s="272"/>
      <c r="AK10" s="272"/>
      <c r="AL10" s="272"/>
      <c r="AM10" s="272"/>
      <c r="AN10" s="272"/>
      <c r="AO10" s="272"/>
      <c r="AP10" s="272"/>
      <c r="AQ10" s="272"/>
      <c r="AR10" s="272"/>
      <c r="AS10" s="272"/>
      <c r="AT10" s="275"/>
      <c r="AU10" s="276"/>
      <c r="AV10" s="276"/>
      <c r="AW10" s="276"/>
      <c r="AX10" s="262"/>
      <c r="AY10" s="276"/>
      <c r="AZ10" s="277"/>
      <c r="BA10" s="278"/>
      <c r="BB10" s="262"/>
      <c r="BC10" s="262"/>
      <c r="BD10" s="262">
        <f>IF(D10&lt;1960,IF(OR(C10=1,C10=5,C10=6),P10,0),0)</f>
        <v>0</v>
      </c>
      <c r="BE10" s="262"/>
      <c r="BF10" s="262"/>
      <c r="BG10" s="262">
        <f>(Систем!$D$14/2)/$AG$2*M10</f>
        <v>0</v>
      </c>
      <c r="BH10" s="262"/>
      <c r="BI10" s="262"/>
      <c r="BJ10" s="262"/>
      <c r="BK10" s="262"/>
      <c r="BL10" s="262"/>
      <c r="BM10" s="262"/>
      <c r="BN10" s="262"/>
      <c r="BO10" s="262"/>
      <c r="BP10" s="262"/>
      <c r="BQ10" s="262"/>
      <c r="BR10" s="262"/>
      <c r="BS10" s="262"/>
      <c r="BU10" s="262"/>
      <c r="BV10" s="262"/>
      <c r="CI10" s="262">
        <f>Систем!$D$14/$AG$2*W10</f>
        <v>0</v>
      </c>
      <c r="CK10" s="262"/>
      <c r="CL10" s="262"/>
      <c r="CP10" s="263">
        <f>ROUND(BE10*$CP$2,2)</f>
        <v>0</v>
      </c>
      <c r="CU10" s="263">
        <f>ROUND(CG10*$CU$2,2)</f>
        <v>0</v>
      </c>
      <c r="CV10" s="263">
        <f>ROUND(CH10*$CV$2,2)</f>
        <v>0</v>
      </c>
      <c r="DC10" s="263">
        <f>ROUND(BY10*$DC$2,2)</f>
        <v>0</v>
      </c>
      <c r="DD10" s="263">
        <f>ROUND(BZ10*$DD$2,2)</f>
        <v>0</v>
      </c>
      <c r="DE10" s="263"/>
      <c r="DF10" s="263"/>
      <c r="DI10" s="263">
        <f>ROUND(SUM(BC10,BE10,BT10,BV10,BX10,CD10,CF10)*$DI$2,2)</f>
        <v>0</v>
      </c>
      <c r="DJ10" s="263"/>
      <c r="FD10" s="277" t="s">
        <v>482</v>
      </c>
    </row>
    <row r="11" spans="1:160" s="266" customFormat="1" ht="20.100000000000001" customHeight="1" thickBot="1" x14ac:dyDescent="0.3">
      <c r="A11" s="280">
        <f>SUM(A9:A10)</f>
        <v>6</v>
      </c>
      <c r="B11" s="281" t="s">
        <v>603</v>
      </c>
      <c r="C11" s="282" t="s">
        <v>28</v>
      </c>
      <c r="D11" s="283" t="s">
        <v>28</v>
      </c>
      <c r="E11" s="283" t="s">
        <v>28</v>
      </c>
      <c r="F11" s="283"/>
      <c r="G11" s="283" t="s">
        <v>28</v>
      </c>
      <c r="H11" s="283" t="s">
        <v>28</v>
      </c>
      <c r="I11" s="284" t="s">
        <v>28</v>
      </c>
      <c r="J11" s="283" t="s">
        <v>28</v>
      </c>
      <c r="K11" s="283" t="s">
        <v>28</v>
      </c>
      <c r="L11" s="285">
        <f>SUM(L8:L10)</f>
        <v>0</v>
      </c>
      <c r="M11" s="286" t="s">
        <v>28</v>
      </c>
      <c r="N11" s="286" t="s">
        <v>28</v>
      </c>
      <c r="O11" s="285">
        <f>SUM(O8:O10)</f>
        <v>0</v>
      </c>
      <c r="P11" s="285">
        <f>SUM(P8:P10)</f>
        <v>0</v>
      </c>
      <c r="Q11" s="287" t="s">
        <v>28</v>
      </c>
      <c r="R11" s="285">
        <f>SUM(R8:R10)</f>
        <v>0</v>
      </c>
      <c r="S11" s="287" t="s">
        <v>28</v>
      </c>
      <c r="T11" s="285">
        <f>SUM(T8:T10)</f>
        <v>0</v>
      </c>
      <c r="U11" s="285">
        <f>SUM(U8:U10)</f>
        <v>0</v>
      </c>
      <c r="V11" s="285">
        <f>SUM(V8:V10)</f>
        <v>0</v>
      </c>
      <c r="W11" s="287" t="s">
        <v>28</v>
      </c>
      <c r="X11" s="287" t="s">
        <v>28</v>
      </c>
      <c r="Y11" s="285">
        <f>SUM(Y8:Y10)</f>
        <v>0</v>
      </c>
      <c r="Z11" s="285">
        <f>SUM(Z8:Z10)</f>
        <v>0</v>
      </c>
      <c r="AA11" s="285">
        <f>SUM(AA8:AA10)</f>
        <v>0</v>
      </c>
      <c r="AB11" s="285">
        <f>SUM(AB8:AB10)</f>
        <v>0</v>
      </c>
      <c r="AC11" s="285">
        <f>SUM(AC8:AC10)</f>
        <v>0</v>
      </c>
      <c r="AD11" s="285"/>
      <c r="AE11" s="285"/>
      <c r="AF11" s="285">
        <f t="shared" ref="AF11:AO11" si="29">SUM(AF8:AF10)</f>
        <v>0</v>
      </c>
      <c r="AG11" s="285">
        <f t="shared" si="29"/>
        <v>0</v>
      </c>
      <c r="AH11" s="285">
        <f t="shared" si="29"/>
        <v>0</v>
      </c>
      <c r="AI11" s="285">
        <f t="shared" si="29"/>
        <v>0</v>
      </c>
      <c r="AJ11" s="285">
        <f t="shared" si="29"/>
        <v>0</v>
      </c>
      <c r="AK11" s="285">
        <f t="shared" si="29"/>
        <v>0</v>
      </c>
      <c r="AL11" s="285">
        <f t="shared" si="29"/>
        <v>0</v>
      </c>
      <c r="AM11" s="285">
        <f t="shared" si="29"/>
        <v>0</v>
      </c>
      <c r="AN11" s="285">
        <f t="shared" si="29"/>
        <v>0</v>
      </c>
      <c r="AO11" s="285">
        <f t="shared" si="29"/>
        <v>0</v>
      </c>
      <c r="AP11" s="287" t="s">
        <v>28</v>
      </c>
      <c r="AQ11" s="285">
        <f>SUM(AQ8:AQ10)</f>
        <v>0</v>
      </c>
      <c r="AR11" s="287" t="s">
        <v>28</v>
      </c>
      <c r="AS11" s="287"/>
      <c r="AT11" s="288" t="s">
        <v>28</v>
      </c>
      <c r="AU11" s="289"/>
      <c r="AV11" s="289"/>
      <c r="AW11" s="290" t="s">
        <v>28</v>
      </c>
      <c r="AX11" s="291">
        <f>SUM(AX8:AX10)</f>
        <v>0</v>
      </c>
      <c r="AY11" s="290" t="s">
        <v>28</v>
      </c>
      <c r="AZ11" s="290" t="s">
        <v>28</v>
      </c>
      <c r="BA11" s="292" t="s">
        <v>28</v>
      </c>
      <c r="BB11" s="293">
        <f t="shared" ref="BB11:CK11" si="30">SUM(BB8:BB10)</f>
        <v>0</v>
      </c>
      <c r="BC11" s="293">
        <f t="shared" si="30"/>
        <v>0</v>
      </c>
      <c r="BD11" s="293">
        <f t="shared" si="30"/>
        <v>0</v>
      </c>
      <c r="BE11" s="293">
        <f t="shared" si="30"/>
        <v>0</v>
      </c>
      <c r="BF11" s="293">
        <f t="shared" si="30"/>
        <v>0</v>
      </c>
      <c r="BG11" s="293">
        <f t="shared" si="30"/>
        <v>0</v>
      </c>
      <c r="BH11" s="293">
        <f t="shared" si="30"/>
        <v>0</v>
      </c>
      <c r="BI11" s="293">
        <f t="shared" si="30"/>
        <v>0</v>
      </c>
      <c r="BJ11" s="293">
        <f t="shared" si="30"/>
        <v>0</v>
      </c>
      <c r="BK11" s="293">
        <f t="shared" si="30"/>
        <v>0</v>
      </c>
      <c r="BL11" s="293">
        <f t="shared" si="30"/>
        <v>0</v>
      </c>
      <c r="BM11" s="293">
        <f t="shared" si="30"/>
        <v>0</v>
      </c>
      <c r="BN11" s="293">
        <f t="shared" si="30"/>
        <v>0</v>
      </c>
      <c r="BO11" s="293">
        <f t="shared" si="30"/>
        <v>0</v>
      </c>
      <c r="BP11" s="293">
        <f t="shared" si="30"/>
        <v>0</v>
      </c>
      <c r="BQ11" s="293">
        <f t="shared" si="30"/>
        <v>0</v>
      </c>
      <c r="BR11" s="293">
        <f t="shared" si="30"/>
        <v>0</v>
      </c>
      <c r="BS11" s="293">
        <f t="shared" si="30"/>
        <v>0</v>
      </c>
      <c r="BT11" s="293">
        <f t="shared" si="30"/>
        <v>0</v>
      </c>
      <c r="BU11" s="293">
        <f t="shared" si="30"/>
        <v>0</v>
      </c>
      <c r="BV11" s="293">
        <f t="shared" si="30"/>
        <v>0</v>
      </c>
      <c r="BW11" s="293">
        <f t="shared" si="30"/>
        <v>0</v>
      </c>
      <c r="BX11" s="293">
        <f t="shared" si="30"/>
        <v>0</v>
      </c>
      <c r="BY11" s="293">
        <f t="shared" si="30"/>
        <v>0</v>
      </c>
      <c r="BZ11" s="293">
        <f t="shared" si="30"/>
        <v>0</v>
      </c>
      <c r="CA11" s="293">
        <f t="shared" si="30"/>
        <v>0</v>
      </c>
      <c r="CB11" s="293">
        <f t="shared" si="30"/>
        <v>0</v>
      </c>
      <c r="CC11" s="293">
        <f t="shared" si="30"/>
        <v>0</v>
      </c>
      <c r="CD11" s="293">
        <f t="shared" si="30"/>
        <v>0</v>
      </c>
      <c r="CE11" s="293">
        <f t="shared" si="30"/>
        <v>0</v>
      </c>
      <c r="CF11" s="293">
        <f t="shared" si="30"/>
        <v>0</v>
      </c>
      <c r="CG11" s="293">
        <f t="shared" si="30"/>
        <v>0</v>
      </c>
      <c r="CH11" s="293">
        <f t="shared" si="30"/>
        <v>0</v>
      </c>
      <c r="CI11" s="293">
        <f t="shared" si="30"/>
        <v>0</v>
      </c>
      <c r="CJ11" s="293">
        <f t="shared" si="30"/>
        <v>0</v>
      </c>
      <c r="CK11" s="293">
        <f t="shared" si="30"/>
        <v>0</v>
      </c>
      <c r="CL11" s="293"/>
      <c r="CM11" s="293">
        <f t="shared" ref="CM11:DR11" si="31">SUM(CM8:CM10)</f>
        <v>0</v>
      </c>
      <c r="CN11" s="293">
        <f t="shared" si="31"/>
        <v>0</v>
      </c>
      <c r="CO11" s="293">
        <f t="shared" si="31"/>
        <v>0</v>
      </c>
      <c r="CP11" s="293">
        <f t="shared" si="31"/>
        <v>0</v>
      </c>
      <c r="CQ11" s="293">
        <f t="shared" si="31"/>
        <v>0</v>
      </c>
      <c r="CR11" s="293">
        <f t="shared" si="31"/>
        <v>0</v>
      </c>
      <c r="CS11" s="293">
        <f t="shared" si="31"/>
        <v>0</v>
      </c>
      <c r="CT11" s="293">
        <f t="shared" si="31"/>
        <v>0</v>
      </c>
      <c r="CU11" s="293">
        <f t="shared" si="31"/>
        <v>0</v>
      </c>
      <c r="CV11" s="293">
        <f t="shared" si="31"/>
        <v>0</v>
      </c>
      <c r="CW11" s="293">
        <f t="shared" si="31"/>
        <v>0</v>
      </c>
      <c r="CX11" s="293">
        <f t="shared" si="31"/>
        <v>0</v>
      </c>
      <c r="CY11" s="293">
        <f t="shared" si="31"/>
        <v>0</v>
      </c>
      <c r="CZ11" s="293">
        <f t="shared" si="31"/>
        <v>0</v>
      </c>
      <c r="DA11" s="293">
        <f t="shared" si="31"/>
        <v>0</v>
      </c>
      <c r="DB11" s="293">
        <f t="shared" si="31"/>
        <v>0</v>
      </c>
      <c r="DC11" s="293">
        <f t="shared" si="31"/>
        <v>0</v>
      </c>
      <c r="DD11" s="293">
        <f t="shared" si="31"/>
        <v>0</v>
      </c>
      <c r="DE11" s="293">
        <f t="shared" si="31"/>
        <v>0</v>
      </c>
      <c r="DF11" s="293">
        <f t="shared" si="31"/>
        <v>0</v>
      </c>
      <c r="DG11" s="293">
        <f t="shared" si="31"/>
        <v>0</v>
      </c>
      <c r="DH11" s="293">
        <f t="shared" si="31"/>
        <v>0</v>
      </c>
      <c r="DI11" s="293">
        <f t="shared" si="31"/>
        <v>0</v>
      </c>
      <c r="DJ11" s="293">
        <f t="shared" si="31"/>
        <v>0</v>
      </c>
      <c r="DK11" s="293">
        <f t="shared" si="31"/>
        <v>0</v>
      </c>
      <c r="DL11" s="293">
        <f t="shared" si="31"/>
        <v>0</v>
      </c>
      <c r="DM11" s="293">
        <f t="shared" si="31"/>
        <v>0</v>
      </c>
      <c r="DN11" s="293">
        <f t="shared" si="31"/>
        <v>0</v>
      </c>
      <c r="DO11" s="293">
        <f t="shared" si="31"/>
        <v>0</v>
      </c>
      <c r="DP11" s="293">
        <f t="shared" si="31"/>
        <v>0</v>
      </c>
      <c r="DQ11" s="293">
        <f t="shared" si="31"/>
        <v>0</v>
      </c>
      <c r="DR11" s="293">
        <f t="shared" si="31"/>
        <v>0</v>
      </c>
      <c r="DS11" s="293"/>
      <c r="DT11" s="293">
        <f t="shared" ref="DT11:FB11" si="32">SUM(DT8:DT10)</f>
        <v>0</v>
      </c>
      <c r="DU11" s="293">
        <f t="shared" si="32"/>
        <v>0</v>
      </c>
      <c r="DV11" s="293">
        <f t="shared" si="32"/>
        <v>0</v>
      </c>
      <c r="DW11" s="293">
        <f t="shared" si="32"/>
        <v>0</v>
      </c>
      <c r="DX11" s="293">
        <f t="shared" si="32"/>
        <v>0</v>
      </c>
      <c r="DY11" s="293">
        <f t="shared" si="32"/>
        <v>0</v>
      </c>
      <c r="DZ11" s="293">
        <f t="shared" si="32"/>
        <v>0</v>
      </c>
      <c r="EA11" s="293">
        <f t="shared" si="32"/>
        <v>0</v>
      </c>
      <c r="EB11" s="293">
        <f t="shared" si="32"/>
        <v>0</v>
      </c>
      <c r="EC11" s="293">
        <f t="shared" si="32"/>
        <v>0</v>
      </c>
      <c r="ED11" s="293">
        <f t="shared" si="32"/>
        <v>0</v>
      </c>
      <c r="EE11" s="293">
        <f t="shared" si="32"/>
        <v>0</v>
      </c>
      <c r="EF11" s="293">
        <f t="shared" si="32"/>
        <v>0</v>
      </c>
      <c r="EG11" s="293">
        <f t="shared" si="32"/>
        <v>0</v>
      </c>
      <c r="EH11" s="293">
        <f t="shared" si="32"/>
        <v>0</v>
      </c>
      <c r="EI11" s="293">
        <f t="shared" si="32"/>
        <v>0</v>
      </c>
      <c r="EJ11" s="293">
        <f t="shared" si="32"/>
        <v>0</v>
      </c>
      <c r="EK11" s="293">
        <f t="shared" si="32"/>
        <v>0</v>
      </c>
      <c r="EL11" s="293">
        <f t="shared" si="32"/>
        <v>0</v>
      </c>
      <c r="EM11" s="293">
        <f t="shared" si="32"/>
        <v>0</v>
      </c>
      <c r="EN11" s="293">
        <f t="shared" si="32"/>
        <v>0</v>
      </c>
      <c r="EO11" s="293">
        <f t="shared" si="32"/>
        <v>0</v>
      </c>
      <c r="EP11" s="293">
        <f t="shared" si="32"/>
        <v>0</v>
      </c>
      <c r="EQ11" s="293">
        <f t="shared" si="32"/>
        <v>0</v>
      </c>
      <c r="ER11" s="293">
        <f t="shared" si="32"/>
        <v>0</v>
      </c>
      <c r="ES11" s="293">
        <f t="shared" si="32"/>
        <v>0</v>
      </c>
      <c r="ET11" s="293">
        <f t="shared" si="32"/>
        <v>0</v>
      </c>
      <c r="EU11" s="293">
        <f t="shared" si="32"/>
        <v>0</v>
      </c>
      <c r="EV11" s="293">
        <f t="shared" si="32"/>
        <v>0</v>
      </c>
      <c r="EW11" s="293">
        <f t="shared" si="32"/>
        <v>0</v>
      </c>
      <c r="EX11" s="293">
        <f t="shared" si="32"/>
        <v>0</v>
      </c>
      <c r="EY11" s="293">
        <f t="shared" si="32"/>
        <v>0</v>
      </c>
      <c r="EZ11" s="293">
        <f t="shared" si="32"/>
        <v>0</v>
      </c>
      <c r="FA11" s="293">
        <f t="shared" si="32"/>
        <v>0</v>
      </c>
      <c r="FB11" s="293">
        <f t="shared" si="32"/>
        <v>0</v>
      </c>
      <c r="FD11" s="277"/>
    </row>
    <row r="12" spans="1:160" ht="13.5" thickTop="1" x14ac:dyDescent="0.2">
      <c r="AO12" s="145"/>
      <c r="AP12" s="145"/>
      <c r="AZ12" s="178"/>
      <c r="BA12" s="178"/>
      <c r="BB12" s="178"/>
      <c r="BC12" s="178"/>
      <c r="BD12" s="174"/>
      <c r="BE12" s="179"/>
    </row>
    <row r="13" spans="1:160" x14ac:dyDescent="0.2">
      <c r="Z13" s="179"/>
      <c r="AB13" s="37" t="s">
        <v>618</v>
      </c>
      <c r="AF13" s="37"/>
      <c r="AG13" s="37"/>
      <c r="AH13" s="37"/>
      <c r="AI13" s="37"/>
      <c r="AJ13" s="37"/>
      <c r="AK13" s="37"/>
      <c r="AL13" s="37"/>
      <c r="AM13" s="37"/>
      <c r="AN13" s="37"/>
      <c r="AO13" s="37"/>
      <c r="AX13" s="145" t="s">
        <v>427</v>
      </c>
      <c r="AY13" s="205">
        <f ca="1">TODAY()</f>
        <v>41907</v>
      </c>
      <c r="BB13" s="178"/>
      <c r="BC13" s="178"/>
      <c r="BD13" s="174"/>
      <c r="BE13" s="179"/>
    </row>
    <row r="14" spans="1:160" x14ac:dyDescent="0.2">
      <c r="C14" s="178"/>
      <c r="D14" s="178"/>
      <c r="E14" s="178"/>
      <c r="F14" s="178"/>
      <c r="G14" s="178"/>
      <c r="H14" s="174"/>
      <c r="I14" s="197"/>
      <c r="AO14" s="145"/>
      <c r="AP14" s="145"/>
      <c r="AX14" s="145" t="s">
        <v>428</v>
      </c>
      <c r="AY14" s="182" t="s">
        <v>429</v>
      </c>
      <c r="BB14" s="178"/>
      <c r="BC14" s="178"/>
      <c r="BD14" s="174"/>
      <c r="BE14" s="179"/>
      <c r="EQ14" s="162"/>
      <c r="ER14" s="162"/>
      <c r="ES14" s="162"/>
      <c r="ET14" s="162"/>
      <c r="FD14" s="196"/>
    </row>
    <row r="15" spans="1:160" x14ac:dyDescent="0.2">
      <c r="B15" s="440" t="s">
        <v>437</v>
      </c>
      <c r="C15" s="440"/>
      <c r="D15" s="440"/>
      <c r="E15" s="400" t="s">
        <v>408</v>
      </c>
      <c r="F15" s="161"/>
      <c r="G15" s="174" t="s">
        <v>28</v>
      </c>
      <c r="H15" s="174"/>
      <c r="I15" s="198">
        <f>Систем!C25</f>
        <v>4.0000000000000001E-3</v>
      </c>
      <c r="AB15" s="87" t="s">
        <v>348</v>
      </c>
      <c r="AG15" s="87" t="s">
        <v>349</v>
      </c>
      <c r="AK15" s="178"/>
      <c r="AP15" s="178"/>
      <c r="AX15" s="145" t="s">
        <v>432</v>
      </c>
      <c r="AY15" s="182" t="s">
        <v>612</v>
      </c>
      <c r="AZ15" s="178"/>
      <c r="BA15" s="178"/>
      <c r="BB15" s="178"/>
      <c r="BC15" s="178"/>
      <c r="BD15" s="174"/>
      <c r="BE15" s="199"/>
      <c r="EQ15" s="162"/>
      <c r="ER15" s="162"/>
      <c r="ES15" s="162"/>
      <c r="ET15" s="162"/>
    </row>
    <row r="16" spans="1:160" x14ac:dyDescent="0.2">
      <c r="B16" s="426" t="s">
        <v>430</v>
      </c>
      <c r="C16" s="426"/>
      <c r="D16" s="426"/>
      <c r="E16" s="207" t="s">
        <v>611</v>
      </c>
      <c r="F16" s="207"/>
      <c r="AX16" s="145" t="s">
        <v>433</v>
      </c>
      <c r="AY16" s="182" t="s">
        <v>431</v>
      </c>
      <c r="BG16" s="195"/>
      <c r="EQ16" s="162"/>
      <c r="ER16" s="162"/>
      <c r="ES16" s="162"/>
      <c r="ET16" s="162"/>
    </row>
    <row r="17" spans="1:253" s="266" customFormat="1" ht="19.5" hidden="1" customHeight="1" x14ac:dyDescent="0.25">
      <c r="A17" s="246">
        <v>1</v>
      </c>
      <c r="B17" s="247"/>
      <c r="C17" s="294">
        <v>1</v>
      </c>
      <c r="D17" s="249"/>
      <c r="E17" s="250"/>
      <c r="F17" s="250"/>
      <c r="G17" s="251"/>
      <c r="H17" s="252"/>
      <c r="I17" s="253"/>
      <c r="J17" s="254"/>
      <c r="K17" s="254"/>
      <c r="L17" s="255">
        <f>ROUND(IF(OR(C17=1,C17=5,C17=6,C17=7),I17/$AG$2*J17/8*K17,IF(C17=8,I17/$AG$2*J17,IF(OR(C17=2,C17=3,C17=4),IF(I17="",IF(AT17="не",Систем!$D$13/rabdni*J17,Систем!$D$16/rabdni*J17),I17/rabdni*J17),IF(C17=9,I17/rabdni*J17/8*K17,"!!!")))),2)</f>
        <v>0</v>
      </c>
      <c r="M17" s="256"/>
      <c r="N17" s="256"/>
      <c r="O17" s="253"/>
      <c r="P17" s="253"/>
      <c r="Q17" s="257"/>
      <c r="R17" s="258">
        <f>ROUND(IF(LEN(G17)&lt;5,0,IF(LEN(G17)=5,IF(OR(C17=1,C17=5,C17=6,C17=7,C17=9),MID(G17,1,1)*L17*Q17,999),IF(LEN(G17)&gt;5,IF(OR(C17=1,C17=5,C17=6,C17=7,C17=9),MID(G17,1,2)*L17*Q17),888))),2)</f>
        <v>0</v>
      </c>
      <c r="S17" s="254"/>
      <c r="T17" s="253"/>
      <c r="U17" s="253"/>
      <c r="V17" s="255">
        <f>ROUND(IF(OR(C17=1,C17=5,C17=6,C17=7,C17=8),L17+O17+P17+R17+T17+U17,IF(C17=9,L17+R17+P17+U17+T17,L17+O17+R17+T17+U17)),2)</f>
        <v>0</v>
      </c>
      <c r="W17" s="254"/>
      <c r="X17" s="254"/>
      <c r="Y17" s="253"/>
      <c r="Z17" s="255">
        <f>V17+Y17</f>
        <v>0</v>
      </c>
      <c r="AA17" s="255">
        <f>ROUND(IF(OR(C17=1,C17=6,C17=7,C17=8),IF(V17&gt;maxod,maxod-P17-CI17,IF((V17-P17)&lt;(H17/rabdni/8)*K17*(J17+N17+S17),(H17/rabdni/8)*K17*(J17+N17+S17),V17-P17)),
IF(OR(C17=2,C17=3,C17=4),V17,
IF(C17=5,IF(V17&gt;maxod,maxod-P17,IF((V17-P17)&lt;(H17/rabdni/8)*K17*(J17+S17),(H17/rabdni/8)*K17*(J17+S17),V17-P17)),
IF(C17=9,IF(V17&gt;maxod,maxod,V17))))),2)</f>
        <v>0</v>
      </c>
      <c r="AB17" s="255">
        <f>ROUND(IF(OR(C17=1,C17=6,C17=7,C17=8),
IF(D17&lt;1960,AA17*Систем!$D$6,AA17*Систем!$E$6),
IF(C17=2,
IF(D17&lt;1960,Систем!$F$6*V17,Систем!$G$6*V17),
IF(C17=3,
IF(D17&lt;1960,V17*Систем!$H$6,V17*Систем!$I$6),
IF(C17=4,0,
IF(C17=5,
IF(D17&lt;1960,AA17*Систем!$L$6,AA17*Систем!$M$6),
IF(C17=9,IF(D17&lt;1960,V17*Систем!$N$6,V17*Систем!$O$6),"!!!")))))),2)</f>
        <v>0</v>
      </c>
      <c r="AC17" s="255">
        <f>ROUND(IF(OR(C17=1,C17=5,C17=6,C17=7,C17=8),IF(D17&lt;1960,P17*Систем!$D$7,P17*Систем!$E$7),IF(OR(C17=2,C17=3,C17=4,C17=9),0,"!!")),2)</f>
        <v>0</v>
      </c>
      <c r="AD17" s="255"/>
      <c r="AE17" s="255"/>
      <c r="AF17" s="255">
        <f>ROUND(IF(OR(C17=1,C17=5,C17=6,C17=7,C17=8),(AA17+P17)*Систем!$E$11+DQ17,IF(OR(C17=2,C17=3,C17=4),V17*Систем!$K$11+FB17,IF(C17=9,0,"!!"))),2)</f>
        <v>0</v>
      </c>
      <c r="AG17" s="255">
        <f>ROUND(IF(D17&lt;1960,0,IF(OR(C17=1,C17=5,C17=6,C17=7,C17=8),(AA17+P17)*Систем!$E$9,IF(C17=2,V17*Систем!$G$9,IF(C17=3,V17*Систем!$G$9,IF(C17=4,0,IF(C17=9,V17*Систем!$O$9,"!!")))))),2)</f>
        <v>0</v>
      </c>
      <c r="AH17" s="259"/>
      <c r="AI17" s="259"/>
      <c r="AJ17" s="255">
        <f>ROUND(IF(OR(C17=2,C17=3,C17=4),IF(AI17-SUM(AB17:AG17)-AH17&lt;0,0,AI17-SUM(AB17:AG17)-AH17),IF((V17-(AB17+AD17+AE17+AF17+AG17+AC17)-AH17+AI17-T17)&lt;0,0,V17-(AB17+AD17+AE17+AF17+AG17+AC17)-AH17+AI17-T17)),2)</f>
        <v>0</v>
      </c>
      <c r="AK17" s="255">
        <f>IF(AJ17&lt;0,0,ROUND(AJ17*dod,2))</f>
        <v>0</v>
      </c>
      <c r="AL17" s="253"/>
      <c r="AM17" s="258">
        <f>SUM(AB17:AG17)+AK17+AL17</f>
        <v>0</v>
      </c>
      <c r="AN17" s="255">
        <f>IF(OR(C17=2,C17=3,C17=4),IF(AI17-AM17&lt;0,0,AI17-AM17),IF((Z17-AM17+AI17)&lt;0,0-DQ17,(Z17-AM17+AI17)))</f>
        <v>0</v>
      </c>
      <c r="AO17" s="253"/>
      <c r="AP17" s="253"/>
      <c r="AQ17" s="255">
        <f>IF((AN17-AO17)&lt;0,0-DQ17,(AN17-AO17))</f>
        <v>0</v>
      </c>
      <c r="AR17" s="254"/>
      <c r="AS17" s="302" t="str">
        <f>CONCATENATE(A17," - ",B17)</f>
        <v xml:space="preserve">1 - </v>
      </c>
      <c r="AT17" s="260" t="s">
        <v>120</v>
      </c>
      <c r="AU17" s="260" t="s">
        <v>120</v>
      </c>
      <c r="AV17" s="260">
        <v>0</v>
      </c>
      <c r="AW17" s="260" t="s">
        <v>120</v>
      </c>
      <c r="AX17" s="303">
        <f>IF(AW17="да",IF(AQ17&lt;0,0,AQ17),0)</f>
        <v>0</v>
      </c>
      <c r="AY17" s="261"/>
      <c r="AZ17" s="261"/>
      <c r="BA17" s="261"/>
      <c r="BB17" s="262">
        <f>IF(AND(D17&lt;1960,C17=1),AA17,0)</f>
        <v>0</v>
      </c>
      <c r="BC17" s="262">
        <f>IF(AND(D17&gt;=1960,C17=1),AA17,0)</f>
        <v>0</v>
      </c>
      <c r="BD17" s="262">
        <f>IF(D17&lt;1960,IF(OR(C17=1,C17=5),P17,0),0)</f>
        <v>0</v>
      </c>
      <c r="BE17" s="262">
        <f>IF(D17&gt;=1960,IF(OR(C17=1,C17=5),P17,0),0)</f>
        <v>0</v>
      </c>
      <c r="BF17" s="262">
        <v>0</v>
      </c>
      <c r="BG17" s="262">
        <f>IF(AV17="",(Систем!$D$14/2)/$AG$2*M17,(Систем!$D$14/2)/$AG$2*(M17-AV17))</f>
        <v>0</v>
      </c>
      <c r="BH17" s="262">
        <f>IF(AV17="",0,(Систем!$D$14/2)/$AG$2*AV17)</f>
        <v>0</v>
      </c>
      <c r="BI17" s="262">
        <f>IF(AND(C17=2,D17&lt;1960,AT17="не"),AA17,0)</f>
        <v>0</v>
      </c>
      <c r="BJ17" s="262">
        <f>IF(AND(C17=2,D17&gt;=1960,AT17="не"),AA17,0)</f>
        <v>0</v>
      </c>
      <c r="BK17" s="262">
        <f>IF(AND(C17=2,D17&lt;1960,AT17="да"),AA17,0)</f>
        <v>0</v>
      </c>
      <c r="BL17" s="262">
        <f>IF(AND(C17=2,D17&gt;=1960,AT17="да"),AA17,0)</f>
        <v>0</v>
      </c>
      <c r="BM17" s="262">
        <f>IF(AND(C17=3,D17&lt;1960,AT17="не"),AA17,0)</f>
        <v>0</v>
      </c>
      <c r="BN17" s="262">
        <f>IF(AND(C17=3,D17&gt;=1960,AT17="не"),AA17,0)</f>
        <v>0</v>
      </c>
      <c r="BO17" s="262">
        <f>IF(AND(C17=3,D17&lt;1960,AT17="да"),AA17,0)</f>
        <v>0</v>
      </c>
      <c r="BP17" s="262">
        <f>IF(AND(C17=3,D17&gt;=1960,AT17="да"),AA17,0)</f>
        <v>0</v>
      </c>
      <c r="BQ17" s="262">
        <f>IF(C17=4,AA17,0)</f>
        <v>0</v>
      </c>
      <c r="BR17" s="262">
        <f>IF(C17=2,CI17+CJ17,0)</f>
        <v>0</v>
      </c>
      <c r="BS17" s="262">
        <f>IF(AND(D17&lt;1960,C17=5),AA17,0)</f>
        <v>0</v>
      </c>
      <c r="BT17" s="262">
        <f>IF(AND(D17&gt;=1960,C17=5),AA17,0)</f>
        <v>0</v>
      </c>
      <c r="BU17" s="262">
        <f>IF(AND(D17&lt;1960,C17=6),AA17,0)</f>
        <v>0</v>
      </c>
      <c r="BV17" s="262">
        <f>IF(AND(D17&gt;=1960,C17=6),AA17,0)</f>
        <v>0</v>
      </c>
      <c r="BW17" s="262">
        <f>IF(AND(D17&lt;1960,C17=7),AA17,0)</f>
        <v>0</v>
      </c>
      <c r="BX17" s="262">
        <f>IF(AND(D17&gt;=1960,C17=7),AA17,0)</f>
        <v>0</v>
      </c>
      <c r="BY17" s="262">
        <f>IF(AND(D17&lt;1960,C17=8),AA17,0)</f>
        <v>0</v>
      </c>
      <c r="BZ17" s="262">
        <f>IF(AND(D17&gt;=1960,C17=8),AA17,0)</f>
        <v>0</v>
      </c>
      <c r="CA17" s="262">
        <f>IF(AND(D17&lt;1960,C17=9),AA17,0)</f>
        <v>0</v>
      </c>
      <c r="CB17" s="262">
        <f>IF(AND(D17&gt;=1960,C17=9),AA17,0)</f>
        <v>0</v>
      </c>
      <c r="CC17" s="262">
        <f>IF(D17&lt;1960,IF(C17=6,P17,0),0)</f>
        <v>0</v>
      </c>
      <c r="CD17" s="262">
        <f>IF(D17&gt;=1960,IF(C17=6,P17,0),0)</f>
        <v>0</v>
      </c>
      <c r="CE17" s="262">
        <f>IF(D17&lt;1960,IF(C17=7,P17,0),0)</f>
        <v>0</v>
      </c>
      <c r="CF17" s="262">
        <f>IF(D17&gt;=1960,IF(C17=7,P17,0),0)</f>
        <v>0</v>
      </c>
      <c r="CG17" s="262">
        <f>IF(D17&lt;1960,IF(C17=8,P17,0),0)</f>
        <v>0</v>
      </c>
      <c r="CH17" s="262">
        <f>IF(D17&gt;=1960,IF(C17=8,P17,0),0)</f>
        <v>0</v>
      </c>
      <c r="CI17" s="262">
        <f>IF(OR(C17=3,C17=4),0,IF(AND(C17=2,AT17="да"),Систем!$D$16/$AG$2*W17,Систем!$D$14/$AG$2*W17))</f>
        <v>0</v>
      </c>
      <c r="CJ17" s="262">
        <f>IF(OR(C17=3,C17=4),0,IF(AND(C17=2,AT17="да"),Систем!$D$16/$AG$2*X17,Систем!$D$14/$AG$2*X17))</f>
        <v>0</v>
      </c>
      <c r="CK17" s="262">
        <f>IF(AND(AU17="да",OR(C17=1,C17=5,C17=6,C17=7)),IF(AA17&gt;Систем!$D$12,Систем!$D$12,AA17),0)</f>
        <v>0</v>
      </c>
      <c r="CL17" s="262"/>
      <c r="CM17" s="263">
        <f>ROUND(BB17*$CM$2,2)</f>
        <v>0</v>
      </c>
      <c r="CN17" s="263">
        <f>ROUND(BC17*$CN$2,2)</f>
        <v>0</v>
      </c>
      <c r="CO17" s="263">
        <f>ROUND(BD17*$CO$2,2)</f>
        <v>0</v>
      </c>
      <c r="CP17" s="263">
        <f>ROUND(BE17*$CP$2,2)</f>
        <v>0</v>
      </c>
      <c r="CQ17" s="263">
        <f>ROUND(CC17*$CQ$2,2)</f>
        <v>0</v>
      </c>
      <c r="CR17" s="263">
        <f>ROUND(CD17*$CR$2,2)</f>
        <v>0</v>
      </c>
      <c r="CS17" s="263">
        <f>ROUND(CE17*$CS$2,2)</f>
        <v>0</v>
      </c>
      <c r="CT17" s="263">
        <f>ROUND(CF17*$CT$2,2)</f>
        <v>0</v>
      </c>
      <c r="CU17" s="263">
        <f>ROUND(CG17*$CU$2,2)</f>
        <v>0</v>
      </c>
      <c r="CV17" s="263">
        <f>ROUND(CH17*$CV$2,2)</f>
        <v>0</v>
      </c>
      <c r="CW17" s="263">
        <f>ROUND(BS17*$CW$2,2)</f>
        <v>0</v>
      </c>
      <c r="CX17" s="263">
        <f>ROUND(BT17*$CX$2,2)</f>
        <v>0</v>
      </c>
      <c r="CY17" s="263">
        <f>ROUND(BU17*$CY$2,2)</f>
        <v>0</v>
      </c>
      <c r="CZ17" s="263">
        <f>ROUND(BV17*$CZ$2,2)</f>
        <v>0</v>
      </c>
      <c r="DA17" s="263">
        <f>ROUND(BW17*$DA$2,2)</f>
        <v>0</v>
      </c>
      <c r="DB17" s="263">
        <f>ROUND(BX17*$DB$2,2)</f>
        <v>0</v>
      </c>
      <c r="DC17" s="263">
        <f>ROUND(BY17*$DC$2,2)+ROUND(BY17*$DC$3,2)+ROUND(BY17*$DC$4,2)</f>
        <v>0</v>
      </c>
      <c r="DD17" s="263">
        <f>ROUND(BZ17*$DD$2,2)</f>
        <v>0</v>
      </c>
      <c r="DE17" s="263">
        <f>ROUND(CA17*$DE$2,2)</f>
        <v>0</v>
      </c>
      <c r="DF17" s="263">
        <f>ROUND(CB17*$DF$2,2)</f>
        <v>0</v>
      </c>
      <c r="DG17" s="263">
        <f>ROUND(SUM(BB17:BC17,BS17:BT17,BU17:BZ17)*$DG$2,2)</f>
        <v>0</v>
      </c>
      <c r="DH17" s="263">
        <f>ROUND(BF17*$DH$2,2)</f>
        <v>0</v>
      </c>
      <c r="DI17" s="263">
        <f>ROUND(SUM(BC17,BE17,BT17,BV17,BX17,CD17,CF17,CB17)*$DI$2,2)</f>
        <v>0</v>
      </c>
      <c r="DJ17" s="263">
        <f>ROUND(SUM(BZ17,CH17)*$DJ$2,2)</f>
        <v>0</v>
      </c>
      <c r="DK17" s="263">
        <f>ROUND(SUM(BU17:BV17,CC17:CD17)*$DK$2,2)</f>
        <v>0</v>
      </c>
      <c r="DL17" s="263">
        <f>ROUND(SUM(BW17:BX17,CE17:CF17)*$DL$2,2)</f>
        <v>0</v>
      </c>
      <c r="DM17" s="263">
        <f>ROUND(SUM(BB17:BE17,BS17:BT17,BU17:BX17,CC17:CF17)*$DM$2,2)</f>
        <v>0</v>
      </c>
      <c r="DN17" s="263">
        <f>ROUND(SUM(BY17:BZ17,CG17:CH17)*$DN$2,2)</f>
        <v>0</v>
      </c>
      <c r="DO17" s="263">
        <f>ROUND((CI17+CJ17-BR17)*$DO$2,2)</f>
        <v>0</v>
      </c>
      <c r="DP17" s="263">
        <f>ROUND(BG17*$DP$2,2)</f>
        <v>0</v>
      </c>
      <c r="DQ17" s="263">
        <f>ROUND(BH17*$DQ$2,2)</f>
        <v>0</v>
      </c>
      <c r="DR17" s="263">
        <f>ROUND(CK17*$DR$2,2)</f>
        <v>0</v>
      </c>
      <c r="DS17" s="263"/>
      <c r="DT17" s="263">
        <f>ROUND(BB17*$DT$2,2)</f>
        <v>0</v>
      </c>
      <c r="DU17" s="263">
        <f>ROUND(BC17*$DU$2,2)</f>
        <v>0</v>
      </c>
      <c r="DV17" s="263">
        <f>ROUND(BD17*$DV$2,2)</f>
        <v>0</v>
      </c>
      <c r="DW17" s="263">
        <f>ROUND(BE17*$DW$2,2)</f>
        <v>0</v>
      </c>
      <c r="DX17" s="263">
        <f>ROUND(CC17*$DX$2,2)</f>
        <v>0</v>
      </c>
      <c r="DY17" s="263">
        <f>ROUND(CD17*$DY$2,2)</f>
        <v>0</v>
      </c>
      <c r="DZ17" s="263">
        <f>ROUND(CE17*$DZ$2,2)</f>
        <v>0</v>
      </c>
      <c r="EA17" s="263">
        <f>ROUND(CF17*$EA$2,2)</f>
        <v>0</v>
      </c>
      <c r="EB17" s="263">
        <f>ROUND(CG17*$EB$2,2)</f>
        <v>0</v>
      </c>
      <c r="EC17" s="263">
        <f>ROUND(CH17*$EC$2,2)</f>
        <v>0</v>
      </c>
      <c r="ED17" s="263">
        <f>ROUND(BS17*$ED$2,2)</f>
        <v>0</v>
      </c>
      <c r="EE17" s="263">
        <f>ROUND(BT17*$EE$2,2)</f>
        <v>0</v>
      </c>
      <c r="EF17" s="263">
        <f>ROUND(BU17*$EF$2,2)</f>
        <v>0</v>
      </c>
      <c r="EG17" s="263">
        <f>ROUND(BV17*$EG$2,2)</f>
        <v>0</v>
      </c>
      <c r="EH17" s="263">
        <f>ROUND(BW17*$EH$2,2)</f>
        <v>0</v>
      </c>
      <c r="EI17" s="263">
        <f>ROUND(BX17*$EI$2,2)</f>
        <v>0</v>
      </c>
      <c r="EJ17" s="263">
        <f>ROUND(BY17*$EJ$2,2)</f>
        <v>0</v>
      </c>
      <c r="EK17" s="263">
        <f>ROUND(BZ17*$EK$2,2)</f>
        <v>0</v>
      </c>
      <c r="EL17" s="263">
        <f>ROUND(CA17*$EL$2,2)</f>
        <v>0</v>
      </c>
      <c r="EM17" s="263">
        <f>ROUND(CB17*$EM$2,2)</f>
        <v>0</v>
      </c>
      <c r="EN17" s="263">
        <f>ROUND(SUM(BC17,BE17,BT17,BV17,BX17,CD17,CF17,CB17)*$EN$2,2)</f>
        <v>0</v>
      </c>
      <c r="EO17" s="263">
        <f>ROUND(SUM(BZ17,CH17)*$EO$2,2)</f>
        <v>0</v>
      </c>
      <c r="EP17" s="263">
        <f>ROUND(BI17*$EP$2,2)</f>
        <v>0</v>
      </c>
      <c r="EQ17" s="263">
        <f>ROUND(BJ17*$EQ$2,2)</f>
        <v>0</v>
      </c>
      <c r="ER17" s="263">
        <f>ROUND(BK17*$ER$2,2)</f>
        <v>0</v>
      </c>
      <c r="ES17" s="263">
        <f>ROUND(BL17*$ES$2,2)</f>
        <v>0</v>
      </c>
      <c r="ET17" s="263">
        <f>ROUND(BM17*$ET$2,2)</f>
        <v>0</v>
      </c>
      <c r="EU17" s="263">
        <f>ROUND(BN17*$EU$2,2)</f>
        <v>0</v>
      </c>
      <c r="EV17" s="263">
        <f>ROUND(BO17*$EV$2,2)</f>
        <v>0</v>
      </c>
      <c r="EW17" s="263">
        <f>ROUND(BP17*$EW$2,2)</f>
        <v>0</v>
      </c>
      <c r="EX17" s="263">
        <f>ROUND((BJ17+BN17+BL17+BP17)*$EX$2,2)</f>
        <v>0</v>
      </c>
      <c r="EY17" s="263">
        <f>ROUND(SUM(BB17:BE17,BS17:BT17,BU17:BX17,CC17:CF17)*$EY$2,2)</f>
        <v>0</v>
      </c>
      <c r="EZ17" s="263">
        <f>ROUND(SUM(BY17:BZ17,CG17:CH17)*$EZ$2,2)</f>
        <v>0</v>
      </c>
      <c r="FA17" s="263">
        <f>ROUND(SUM(BI17:BQ17)*$FA$2,2)</f>
        <v>0</v>
      </c>
      <c r="FB17" s="263">
        <f>ROUND(BR17*$FB$2,2)</f>
        <v>0</v>
      </c>
      <c r="FD17" s="265"/>
    </row>
    <row r="18" spans="1:253" x14ac:dyDescent="0.2">
      <c r="AA18" s="195"/>
      <c r="CI18" s="195"/>
      <c r="IP18" s="87">
        <f>Систем!D12</f>
        <v>2400</v>
      </c>
      <c r="IQ18" s="97" t="s">
        <v>526</v>
      </c>
      <c r="IR18" s="87">
        <v>1</v>
      </c>
      <c r="IS18" s="87" t="s">
        <v>29</v>
      </c>
    </row>
    <row r="19" spans="1:253" x14ac:dyDescent="0.2">
      <c r="FD19" s="87"/>
      <c r="IQ19" s="97" t="s">
        <v>527</v>
      </c>
      <c r="IR19" s="87">
        <v>2</v>
      </c>
      <c r="IS19" s="87" t="s">
        <v>120</v>
      </c>
    </row>
    <row r="20" spans="1:253" x14ac:dyDescent="0.2">
      <c r="DT20" s="210"/>
      <c r="DU20" s="210"/>
      <c r="DV20" s="210"/>
      <c r="DW20" s="210"/>
      <c r="DX20" s="210"/>
      <c r="DY20" s="210"/>
      <c r="DZ20" s="210"/>
      <c r="EA20" s="210"/>
      <c r="EB20" s="210"/>
      <c r="EC20" s="210"/>
      <c r="ED20" s="210"/>
      <c r="EE20" s="210"/>
      <c r="EF20" s="210"/>
      <c r="EG20" s="210"/>
      <c r="IQ20" s="97" t="s">
        <v>528</v>
      </c>
      <c r="IR20" s="87">
        <v>3</v>
      </c>
    </row>
    <row r="21" spans="1:253" x14ac:dyDescent="0.2">
      <c r="IQ21" s="97" t="s">
        <v>529</v>
      </c>
      <c r="IR21" s="173">
        <v>4</v>
      </c>
    </row>
    <row r="22" spans="1:253" x14ac:dyDescent="0.2">
      <c r="IQ22" s="97" t="s">
        <v>530</v>
      </c>
      <c r="IR22" s="174">
        <v>5</v>
      </c>
    </row>
    <row r="23" spans="1:253" x14ac:dyDescent="0.2">
      <c r="IQ23" s="97" t="s">
        <v>531</v>
      </c>
      <c r="IR23" s="87">
        <v>6</v>
      </c>
    </row>
    <row r="24" spans="1:253" x14ac:dyDescent="0.2">
      <c r="IQ24" s="97" t="s">
        <v>532</v>
      </c>
      <c r="IR24" s="87">
        <v>7</v>
      </c>
    </row>
    <row r="25" spans="1:253" x14ac:dyDescent="0.2">
      <c r="IQ25" s="97" t="s">
        <v>533</v>
      </c>
      <c r="IR25" s="87">
        <v>8</v>
      </c>
    </row>
    <row r="26" spans="1:253" x14ac:dyDescent="0.2">
      <c r="IQ26" s="97" t="s">
        <v>534</v>
      </c>
      <c r="IR26" s="87">
        <v>9</v>
      </c>
    </row>
    <row r="27" spans="1:253" x14ac:dyDescent="0.2">
      <c r="IQ27" s="97">
        <v>10</v>
      </c>
    </row>
    <row r="28" spans="1:253" x14ac:dyDescent="0.2">
      <c r="IQ28" s="97">
        <v>11</v>
      </c>
    </row>
    <row r="29" spans="1:253" x14ac:dyDescent="0.2">
      <c r="IQ29" s="97">
        <v>12</v>
      </c>
    </row>
    <row r="39" spans="2:5" x14ac:dyDescent="0.2">
      <c r="B39" s="87" t="str">
        <f>CONCATENATE(РПВ!AL2,".",РПВ!AO2)</f>
        <v>1.2014</v>
      </c>
      <c r="E39" s="87" t="str">
        <f>CONCATENATE(РПВ!AL2,".",РПВ!AO2)</f>
        <v>1.2014</v>
      </c>
    </row>
    <row r="44" spans="2:5" x14ac:dyDescent="0.2">
      <c r="B44" s="87" t="str">
        <f>IF(Д6!C26="","",Д6!C26)</f>
        <v/>
      </c>
    </row>
    <row r="48" spans="2:5" x14ac:dyDescent="0.2">
      <c r="B48" s="87" t="s">
        <v>111</v>
      </c>
      <c r="E48" s="87" t="s">
        <v>111</v>
      </c>
    </row>
    <row r="53" spans="2:5" x14ac:dyDescent="0.2">
      <c r="E53" s="87" t="s">
        <v>111</v>
      </c>
    </row>
    <row r="55" spans="2:5" x14ac:dyDescent="0.2">
      <c r="B55" s="87" t="s">
        <v>111</v>
      </c>
    </row>
  </sheetData>
  <mergeCells count="163">
    <mergeCell ref="FC2:FC7"/>
    <mergeCell ref="EL5:EL7"/>
    <mergeCell ref="EM5:EM7"/>
    <mergeCell ref="CI2:CI7"/>
    <mergeCell ref="CJ2:CJ7"/>
    <mergeCell ref="CC2:CC7"/>
    <mergeCell ref="CD2:CD7"/>
    <mergeCell ref="CG2:CG7"/>
    <mergeCell ref="CH2:CH7"/>
    <mergeCell ref="CF2:CF7"/>
    <mergeCell ref="EE5:EE7"/>
    <mergeCell ref="DI5:DI7"/>
    <mergeCell ref="DF5:DF7"/>
    <mergeCell ref="CV5:CV7"/>
    <mergeCell ref="CW5:CW7"/>
    <mergeCell ref="CX5:CX7"/>
    <mergeCell ref="CY5:CY7"/>
    <mergeCell ref="ED5:ED7"/>
    <mergeCell ref="EC5:EC7"/>
    <mergeCell ref="EK5:EK7"/>
    <mergeCell ref="EN5:EN7"/>
    <mergeCell ref="CM5:CM7"/>
    <mergeCell ref="CN5:CN7"/>
    <mergeCell ref="CO5:CO7"/>
    <mergeCell ref="CK2:CK7"/>
    <mergeCell ref="BY2:BY7"/>
    <mergeCell ref="BZ2:BZ7"/>
    <mergeCell ref="CA2:CA7"/>
    <mergeCell ref="CB2:CB7"/>
    <mergeCell ref="BX2:BX7"/>
    <mergeCell ref="BR2:BR7"/>
    <mergeCell ref="BN2:BN7"/>
    <mergeCell ref="BS2:BS7"/>
    <mergeCell ref="BQ2:BQ7"/>
    <mergeCell ref="BW2:BW7"/>
    <mergeCell ref="Y4:Y6"/>
    <mergeCell ref="AK4:AK6"/>
    <mergeCell ref="V4:V6"/>
    <mergeCell ref="AD5:AD6"/>
    <mergeCell ref="AF5:AF6"/>
    <mergeCell ref="AV2:AV7"/>
    <mergeCell ref="AM4:AM6"/>
    <mergeCell ref="X4:X6"/>
    <mergeCell ref="M4:M6"/>
    <mergeCell ref="S4:T5"/>
    <mergeCell ref="AC5:AC6"/>
    <mergeCell ref="AE5:AE6"/>
    <mergeCell ref="AB5:AB6"/>
    <mergeCell ref="Z4:Z6"/>
    <mergeCell ref="W4:W6"/>
    <mergeCell ref="AA4:AA6"/>
    <mergeCell ref="AR4:AR6"/>
    <mergeCell ref="AG5:AG6"/>
    <mergeCell ref="AP4:AP6"/>
    <mergeCell ref="AI4:AI6"/>
    <mergeCell ref="AJ4:AJ6"/>
    <mergeCell ref="AL4:AL6"/>
    <mergeCell ref="AH4:AH6"/>
    <mergeCell ref="AN4:AN6"/>
    <mergeCell ref="A4:A6"/>
    <mergeCell ref="B4:B6"/>
    <mergeCell ref="C4:C6"/>
    <mergeCell ref="D4:D6"/>
    <mergeCell ref="R4:R6"/>
    <mergeCell ref="K4:K6"/>
    <mergeCell ref="L4:L6"/>
    <mergeCell ref="N4:O5"/>
    <mergeCell ref="B15:D15"/>
    <mergeCell ref="J4:J6"/>
    <mergeCell ref="E4:E6"/>
    <mergeCell ref="I4:I6"/>
    <mergeCell ref="H4:H6"/>
    <mergeCell ref="G4:G5"/>
    <mergeCell ref="F4:F6"/>
    <mergeCell ref="P4:P6"/>
    <mergeCell ref="Q4:Q6"/>
    <mergeCell ref="AO4:AO6"/>
    <mergeCell ref="AQ4:AQ6"/>
    <mergeCell ref="BP2:BP7"/>
    <mergeCell ref="AT2:AT7"/>
    <mergeCell ref="BC2:BC7"/>
    <mergeCell ref="AW2:AW7"/>
    <mergeCell ref="AX2:AX7"/>
    <mergeCell ref="BB2:BB7"/>
    <mergeCell ref="BA2:BA7"/>
    <mergeCell ref="AZ2:AZ7"/>
    <mergeCell ref="AY2:AY7"/>
    <mergeCell ref="AU2:AU7"/>
    <mergeCell ref="BD2:BD7"/>
    <mergeCell ref="BF2:BF7"/>
    <mergeCell ref="BH2:BH7"/>
    <mergeCell ref="BE2:BE7"/>
    <mergeCell ref="BK2:BK7"/>
    <mergeCell ref="BL2:BL7"/>
    <mergeCell ref="BO2:BO7"/>
    <mergeCell ref="AS4:AS6"/>
    <mergeCell ref="BM2:BM7"/>
    <mergeCell ref="DZ5:DZ7"/>
    <mergeCell ref="EA5:EA7"/>
    <mergeCell ref="DP5:DP7"/>
    <mergeCell ref="CP5:CP7"/>
    <mergeCell ref="CQ5:CQ7"/>
    <mergeCell ref="CR5:CR7"/>
    <mergeCell ref="CS5:CS7"/>
    <mergeCell ref="EF5:EF7"/>
    <mergeCell ref="EG5:EG7"/>
    <mergeCell ref="CZ5:CZ7"/>
    <mergeCell ref="DA5:DA7"/>
    <mergeCell ref="DN5:DN7"/>
    <mergeCell ref="DO5:DO7"/>
    <mergeCell ref="DC5:DC7"/>
    <mergeCell ref="DD5:DD7"/>
    <mergeCell ref="DS2:DS7"/>
    <mergeCell ref="DT5:DT7"/>
    <mergeCell ref="DU5:DU7"/>
    <mergeCell ref="DV5:DV7"/>
    <mergeCell ref="BJ2:BJ7"/>
    <mergeCell ref="DT1:FB1"/>
    <mergeCell ref="CL2:CL7"/>
    <mergeCell ref="DY5:DY7"/>
    <mergeCell ref="EY5:EY7"/>
    <mergeCell ref="EZ5:EZ7"/>
    <mergeCell ref="FA5:FA7"/>
    <mergeCell ref="FB5:FB7"/>
    <mergeCell ref="EP5:EP7"/>
    <mergeCell ref="DE5:DE7"/>
    <mergeCell ref="EB5:EB7"/>
    <mergeCell ref="DQ5:DQ7"/>
    <mergeCell ref="DR5:DR7"/>
    <mergeCell ref="DJ5:DJ7"/>
    <mergeCell ref="DK5:DK7"/>
    <mergeCell ref="DL5:DL7"/>
    <mergeCell ref="DM5:DM7"/>
    <mergeCell ref="EH5:EH7"/>
    <mergeCell ref="DW5:DW7"/>
    <mergeCell ref="DX5:DX7"/>
    <mergeCell ref="DB5:DB7"/>
    <mergeCell ref="DG5:DG7"/>
    <mergeCell ref="DH5:DH7"/>
    <mergeCell ref="CU5:CU7"/>
    <mergeCell ref="B16:D16"/>
    <mergeCell ref="FD1:FD7"/>
    <mergeCell ref="U4:U6"/>
    <mergeCell ref="CM1:DR1"/>
    <mergeCell ref="BT2:BT7"/>
    <mergeCell ref="CE2:CE7"/>
    <mergeCell ref="EO5:EO7"/>
    <mergeCell ref="BV2:BV7"/>
    <mergeCell ref="EU5:EU7"/>
    <mergeCell ref="EX5:EX7"/>
    <mergeCell ref="ER5:ER7"/>
    <mergeCell ref="ES5:ES7"/>
    <mergeCell ref="EV5:EV7"/>
    <mergeCell ref="EW5:EW7"/>
    <mergeCell ref="CT5:CT7"/>
    <mergeCell ref="EQ5:EQ7"/>
    <mergeCell ref="ET5:ET7"/>
    <mergeCell ref="EJ5:EJ7"/>
    <mergeCell ref="AT1:BA1"/>
    <mergeCell ref="BU2:BU7"/>
    <mergeCell ref="BG2:BG7"/>
    <mergeCell ref="BI2:BI7"/>
    <mergeCell ref="EI5:EI7"/>
  </mergeCells>
  <phoneticPr fontId="0" type="noConversion"/>
  <conditionalFormatting sqref="AV8">
    <cfRule type="expression" dxfId="3" priority="7">
      <formula>IF($AV8&gt;$M8,1,0)</formula>
    </cfRule>
  </conditionalFormatting>
  <conditionalFormatting sqref="AV9">
    <cfRule type="expression" dxfId="2" priority="6">
      <formula>IF($AV9&gt;$M9,1,0)</formula>
    </cfRule>
  </conditionalFormatting>
  <conditionalFormatting sqref="AV17">
    <cfRule type="expression" dxfId="1" priority="5">
      <formula>IF($AV17&gt;$M17,1,0)</formula>
    </cfRule>
  </conditionalFormatting>
  <dataValidations count="5">
    <dataValidation allowBlank="1" showInputMessage="1" showErrorMessage="1" errorTitle="Дни!!!" error="Въвели сте повече работни дни от тези за съответния месец!!!" sqref="BU2:CB7"/>
    <dataValidation type="whole" allowBlank="1" showInputMessage="1" showErrorMessage="1" errorTitle="Минимален осигурителен доход" error="Въвели сте по-голяма стойност от максимално допустимата!!!" sqref="H10">
      <formula1>200</formula1>
      <formula2>$IP$18</formula2>
    </dataValidation>
    <dataValidation type="list" allowBlank="1" showInputMessage="1" showErrorMessage="1" errorTitle="Вид осигурен" error="Няма такъв вид осигурен в базата данни!!!" sqref="C17 C8:C9">
      <formula1>$IR$18:$IR$26</formula1>
    </dataValidation>
    <dataValidation type="decimal" allowBlank="1" showInputMessage="1" showErrorMessage="1" errorTitle="Минимален осигурителен доход" error="Въвели сте по-голяма стойност от максимално допустимата!!!" sqref="H17 H8:H9">
      <formula1>240</formula1>
      <formula2>$IP$18</formula2>
    </dataValidation>
    <dataValidation type="list" allowBlank="1" showInputMessage="1" showErrorMessage="1" errorTitle="Грешка" error="Въведете да или не !!!" sqref="AW8:AW9 AT8:AU9 AT17:AU17 AW17">
      <formula1>$IS$18:$IS$19</formula1>
    </dataValidation>
  </dataValidations>
  <pageMargins left="0.35433070866141736" right="0.19685039370078741" top="0.86614173228346458" bottom="0.98425196850393704" header="0.51181102362204722" footer="0.51181102362204722"/>
  <pageSetup paperSize="9" scale="70" fitToWidth="2" fitToHeight="0" orientation="landscape" horizontalDpi="240" verticalDpi="144" r:id="rId1"/>
  <headerFooter alignWithMargins="0">
    <oddHeader>&amp;L&amp;G</oddHeader>
    <oddFooter>&amp;Lстр. &amp;P от &amp;N</oddFooter>
  </headerFooter>
  <legacyDrawing r:id="rId2"/>
  <legacyDrawingHF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J43"/>
  <sheetViews>
    <sheetView topLeftCell="A2" workbookViewId="0">
      <selection activeCell="H10" sqref="H10"/>
    </sheetView>
  </sheetViews>
  <sheetFormatPr defaultRowHeight="12.75" x14ac:dyDescent="0.2"/>
  <cols>
    <col min="1" max="1" width="3.5703125" customWidth="1"/>
    <col min="2" max="2" width="13.7109375" style="373" customWidth="1"/>
    <col min="3" max="3" width="6.42578125" style="388" bestFit="1" customWidth="1"/>
    <col min="4" max="4" width="7.28515625" customWidth="1"/>
    <col min="5" max="5" width="19.28515625" customWidth="1"/>
    <col min="6" max="6" width="7.28515625" customWidth="1"/>
    <col min="7" max="7" width="18.42578125" customWidth="1"/>
    <col min="8" max="8" width="7.42578125" customWidth="1"/>
    <col min="9" max="9" width="13" customWidth="1"/>
    <col min="10" max="10" width="7.28515625" customWidth="1"/>
  </cols>
  <sheetData>
    <row r="1" spans="1:10" ht="13.5" hidden="1" thickBot="1" x14ac:dyDescent="0.25"/>
    <row r="2" spans="1:10" ht="16.5" x14ac:dyDescent="0.3">
      <c r="A2" s="403">
        <f ca="1">IF(B2="Общо"," ",A15+1)</f>
        <v>1</v>
      </c>
      <c r="B2" s="453">
        <f ca="1">OFFSET(РПВ!$B$8,A15,)</f>
        <v>0</v>
      </c>
      <c r="C2" s="454"/>
      <c r="D2" s="454"/>
      <c r="E2" s="454"/>
      <c r="F2" s="454"/>
      <c r="G2" s="389" t="str">
        <f ca="1">IF(B2="Общо"," ",IF(OFFSET(РПВ!$E$8,A15,)=""," ",OFFSET(РПВ!$E$8,A15,)))</f>
        <v xml:space="preserve"> </v>
      </c>
      <c r="H2" s="399" t="str">
        <f ca="1">IF(B2="Общо"," ",IF(I2=" "," ","ЕГН:"))</f>
        <v xml:space="preserve"> </v>
      </c>
      <c r="I2" s="455" t="str">
        <f ca="1">IF(B2="Общо"," ",IF(OFFSET(РПВ!$FD$8,A15,)=""," ",OFFSET(РПВ!$FD$8,A15,)))</f>
        <v xml:space="preserve"> </v>
      </c>
      <c r="J2" s="456"/>
    </row>
    <row r="3" spans="1:10" x14ac:dyDescent="0.2">
      <c r="B3" s="374" t="s">
        <v>563</v>
      </c>
      <c r="C3" s="390">
        <f ca="1">OFFSET(РПВ!$J$8,A15,)</f>
        <v>0</v>
      </c>
      <c r="D3" s="375">
        <f ca="1">OFFSET(РПВ!$L$8,A15,)</f>
        <v>0</v>
      </c>
      <c r="E3" s="376" t="s">
        <v>564</v>
      </c>
      <c r="F3" s="375">
        <v>0</v>
      </c>
      <c r="G3" s="377" t="s">
        <v>565</v>
      </c>
      <c r="H3" s="375">
        <f ca="1">OFFSET(РПВ!$DH$8,A15,)</f>
        <v>0</v>
      </c>
      <c r="I3" s="377" t="s">
        <v>566</v>
      </c>
      <c r="J3" s="396">
        <f ca="1">OFFSET(РПВ!$AI$8,A15,)</f>
        <v>0</v>
      </c>
    </row>
    <row r="4" spans="1:10" x14ac:dyDescent="0.2">
      <c r="B4" s="378" t="s">
        <v>567</v>
      </c>
      <c r="C4" s="391">
        <f ca="1">IF(B2="Общо","-",OFFSET(РПВ!$Q$8,A15,))</f>
        <v>0</v>
      </c>
      <c r="D4" s="379">
        <f ca="1">OFFSET(РПВ!$R$8,A15,)</f>
        <v>0</v>
      </c>
      <c r="E4" s="380" t="s">
        <v>568</v>
      </c>
      <c r="F4" s="379">
        <f ca="1">OFFSET(РПВ!$Z$8,A15,)</f>
        <v>0</v>
      </c>
      <c r="G4" s="380" t="s">
        <v>569</v>
      </c>
      <c r="H4" s="379">
        <f ca="1">OFFSET(РПВ!$DR$8,A15,)</f>
        <v>0</v>
      </c>
      <c r="I4" s="381" t="s">
        <v>570</v>
      </c>
      <c r="J4" s="397">
        <f ca="1">OFFSET(РПВ!$AH$8,A15,)</f>
        <v>0</v>
      </c>
    </row>
    <row r="5" spans="1:10" x14ac:dyDescent="0.2">
      <c r="B5" s="378" t="s">
        <v>571</v>
      </c>
      <c r="C5" s="392">
        <f ca="1">IF(B2="Общо","-",OFFSET(РПВ!$N$8,A15,))</f>
        <v>0</v>
      </c>
      <c r="D5" s="379">
        <f ca="1">OFFSET(РПВ!$O$8,A15,)</f>
        <v>0</v>
      </c>
      <c r="E5" s="380" t="s">
        <v>572</v>
      </c>
      <c r="F5" s="379">
        <f ca="1">OFFSET(РПВ!$AA$8,A15,)</f>
        <v>0</v>
      </c>
      <c r="G5" s="380" t="s">
        <v>573</v>
      </c>
      <c r="H5" s="379">
        <f ca="1">OFFSET(РПВ!$AF$8,A15,)</f>
        <v>0</v>
      </c>
      <c r="I5" s="381" t="s">
        <v>574</v>
      </c>
      <c r="J5" s="397">
        <f ca="1">OFFSET(РПВ!$AJ$8,A15,)</f>
        <v>0</v>
      </c>
    </row>
    <row r="6" spans="1:10" x14ac:dyDescent="0.2">
      <c r="B6" s="382" t="s">
        <v>306</v>
      </c>
      <c r="C6" s="401">
        <f ca="1">IF(B2="Общо","-",OFFSET(РПВ!$M$8,A15,))</f>
        <v>0</v>
      </c>
      <c r="D6" s="422"/>
      <c r="E6" s="424" t="s">
        <v>615</v>
      </c>
      <c r="F6" s="379">
        <f ca="1">(OFFSET(РПВ!$CI$8,A15,)+OFFSET(РПВ!$CJ$8,A15,))</f>
        <v>0</v>
      </c>
      <c r="G6" s="380" t="s">
        <v>575</v>
      </c>
      <c r="H6" s="379">
        <f ca="1">OFFSET(РПВ!$DM$8,A15,)+OFFSET(РПВ!$DN$8,A15,)</f>
        <v>0</v>
      </c>
      <c r="I6" s="381" t="s">
        <v>576</v>
      </c>
      <c r="J6" s="397">
        <f ca="1">OFFSET(РПВ!$AK$8,A15,)</f>
        <v>0</v>
      </c>
    </row>
    <row r="7" spans="1:10" x14ac:dyDescent="0.2">
      <c r="B7" s="382" t="s">
        <v>577</v>
      </c>
      <c r="C7" s="393"/>
      <c r="D7" s="379">
        <f ca="1">OFFSET(РПВ!$U$8,A15,)</f>
        <v>0</v>
      </c>
      <c r="E7" s="423" t="s">
        <v>614</v>
      </c>
      <c r="F7" s="379">
        <f ca="1">(OFFSET(РПВ!$BG$8,A15,)+OFFSET(РПВ!$BH$8,A15,))</f>
        <v>0</v>
      </c>
      <c r="G7" s="383" t="s">
        <v>578</v>
      </c>
      <c r="H7" s="384">
        <f ca="1">OFFSET(РПВ!$FB$8,A15,)</f>
        <v>0</v>
      </c>
      <c r="I7" s="380" t="s">
        <v>579</v>
      </c>
      <c r="J7" s="397">
        <v>0</v>
      </c>
    </row>
    <row r="8" spans="1:10" x14ac:dyDescent="0.2">
      <c r="B8" s="382" t="s">
        <v>580</v>
      </c>
      <c r="C8" s="393"/>
      <c r="D8" s="379">
        <v>0</v>
      </c>
      <c r="E8" s="380"/>
      <c r="F8" s="379"/>
      <c r="G8" s="383" t="s">
        <v>581</v>
      </c>
      <c r="H8" s="384">
        <f ca="1">OFFSET(РПВ!$DO$8,A15,)</f>
        <v>0</v>
      </c>
      <c r="I8" s="381" t="s">
        <v>582</v>
      </c>
      <c r="J8" s="397">
        <f ca="1">OFFSET(РПВ!$AL$8,A15,)</f>
        <v>0</v>
      </c>
    </row>
    <row r="9" spans="1:10" x14ac:dyDescent="0.2">
      <c r="B9" s="382" t="s">
        <v>583</v>
      </c>
      <c r="C9" s="393"/>
      <c r="D9" s="379">
        <f ca="1">OFFSET(РПВ!$V$8,A15,)</f>
        <v>0</v>
      </c>
      <c r="E9" s="380"/>
      <c r="F9" s="379"/>
      <c r="G9" s="383" t="s">
        <v>584</v>
      </c>
      <c r="H9" s="384">
        <f ca="1">OFFSET(РПВ!$DQ$8,A15,)</f>
        <v>0</v>
      </c>
      <c r="I9" s="380" t="s">
        <v>513</v>
      </c>
      <c r="J9" s="397">
        <f ca="1">OFFSET(РПВ!$AM$8,A15,)</f>
        <v>0</v>
      </c>
    </row>
    <row r="10" spans="1:10" x14ac:dyDescent="0.2">
      <c r="B10" s="382" t="s">
        <v>599</v>
      </c>
      <c r="C10" s="394">
        <f ca="1">IF(B2="Общо","-",OFFSET(РПВ!$S$8,A15,)+OFFSET(РПВ!$W$8,A15,)+OFFSET(РПВ!$Y$8,A15,))</f>
        <v>0</v>
      </c>
      <c r="D10" s="379">
        <f ca="1">OFFSET(РПВ!$T$8,A15,)</f>
        <v>0</v>
      </c>
      <c r="E10" s="381" t="s">
        <v>600</v>
      </c>
      <c r="F10" s="379">
        <f ca="1">OFFSET(РПВ!$AB$8,A15,)</f>
        <v>0</v>
      </c>
      <c r="G10" s="383" t="s">
        <v>585</v>
      </c>
      <c r="H10" s="384">
        <f ca="1">OFFSET(РПВ!$DP$8,A15,)</f>
        <v>0</v>
      </c>
      <c r="I10" s="381" t="s">
        <v>586</v>
      </c>
      <c r="J10" s="397">
        <f ca="1">OFFSET(РПВ!$AO$8,A15,)</f>
        <v>0</v>
      </c>
    </row>
    <row r="11" spans="1:10" x14ac:dyDescent="0.2">
      <c r="B11" s="382" t="s">
        <v>587</v>
      </c>
      <c r="C11" s="392">
        <f ca="1">IF(B2="Общо","-",OFFSET(РПВ!$W$8,A15,))</f>
        <v>0</v>
      </c>
      <c r="D11" s="379"/>
      <c r="E11" s="380" t="s">
        <v>601</v>
      </c>
      <c r="F11" s="379">
        <f ca="1">(OFFSET(РПВ!$CM$8,A15,)+OFFSET(РПВ!$CN$8,A15,)+OFFSET(РПВ!$CW$8,A15,)+OFFSET(РПВ!$CX$8,A15,)+OFFSET(РПВ!$CY$8,A15,)+OFFSET(РПВ!$CZ$8,A15,)+OFFSET(РПВ!$DA$8,A15,)+OFFSET(РПВ!$DB$8,A15,)+OFFSET(РПВ!$DC$8,A15,)+OFFSET(РПВ!$DD$8,A15,)+OFFSET(РПВ!$DE$8,A15,)+OFFSET(РПВ!$DF$8,A15,))</f>
        <v>0</v>
      </c>
      <c r="G11" s="383" t="s">
        <v>588</v>
      </c>
      <c r="H11" s="384">
        <f ca="1">OFFSET(РПВ!$DK$8,A15,)+OFFSET(РПВ!$DL$8,A15,)</f>
        <v>0</v>
      </c>
      <c r="I11" s="381" t="s">
        <v>589</v>
      </c>
      <c r="J11" s="397"/>
    </row>
    <row r="12" spans="1:10" x14ac:dyDescent="0.2">
      <c r="B12" s="382" t="s">
        <v>590</v>
      </c>
      <c r="C12" s="392">
        <f ca="1">IF(B2="Общо","-",OFFSET(РПВ!$S$8,A15,))</f>
        <v>0</v>
      </c>
      <c r="D12" s="379">
        <f ca="1">OFFSET(РПВ!$T$8,A15,)</f>
        <v>0</v>
      </c>
      <c r="E12" s="380" t="s">
        <v>602</v>
      </c>
      <c r="F12" s="379">
        <f ca="1">OFFSET(РПВ!$DG$8,A15,)</f>
        <v>0</v>
      </c>
      <c r="G12" s="383" t="s">
        <v>591</v>
      </c>
      <c r="H12" s="384">
        <f ca="1">OFFSET(РПВ!$AG$8,A15,)</f>
        <v>0</v>
      </c>
      <c r="I12" s="380" t="s">
        <v>592</v>
      </c>
      <c r="J12" s="397">
        <f ca="1">IF(OFFSET(РПВ!$AW$8,A15,)="да",0,OFFSET(РПВ!$AQ$8,A15,))</f>
        <v>0</v>
      </c>
    </row>
    <row r="13" spans="1:10" x14ac:dyDescent="0.2">
      <c r="B13" s="382" t="s">
        <v>593</v>
      </c>
      <c r="C13" s="392">
        <f ca="1">IF(B2="Общо","-",OFFSET(РПВ!$X$8,A15,))</f>
        <v>0</v>
      </c>
      <c r="D13" s="379"/>
      <c r="E13" s="380" t="s">
        <v>594</v>
      </c>
      <c r="F13" s="379">
        <f ca="1">OFFSET(РПВ!$AC$8,A15,)</f>
        <v>0</v>
      </c>
      <c r="G13" s="383" t="s">
        <v>595</v>
      </c>
      <c r="H13" s="384">
        <f ca="1">OFFSET(РПВ!$DI$8,A15,)+OFFSET(РПВ!$DJ$8,A15,)</f>
        <v>0</v>
      </c>
      <c r="I13" s="380" t="s">
        <v>596</v>
      </c>
      <c r="J13" s="397">
        <f ca="1">IF(OFFSET(РПВ!$AW$8,A15,)="не",0,OFFSET(РПВ!$AX$8,A15,))</f>
        <v>0</v>
      </c>
    </row>
    <row r="14" spans="1:10" ht="13.5" thickBot="1" x14ac:dyDescent="0.25">
      <c r="B14" s="385" t="s">
        <v>64</v>
      </c>
      <c r="C14" s="395"/>
      <c r="D14" s="386">
        <f ca="1">OFFSET(РПВ!$P$8,A15,)</f>
        <v>0</v>
      </c>
      <c r="E14" s="387" t="s">
        <v>597</v>
      </c>
      <c r="F14" s="386">
        <f ca="1">OFFSET(РПВ!$CO$8,A15,)+OFFSET(РПВ!$CP$8,A15,)+OFFSET(РПВ!$CQ$8,A15,)+OFFSET(РПВ!$CR$8,A15,)+OFFSET(РПВ!$CS$8,A15,)+OFFSET(РПВ!$CT$8,A15,)+OFFSET(РПВ!$CU$8,A15,)+OFFSET(РПВ!$CV$8,A15,)</f>
        <v>0</v>
      </c>
      <c r="G14" s="387" t="s">
        <v>598</v>
      </c>
      <c r="H14" s="386">
        <f ca="1">OFFSET(РПВ!$Y$8,A15,)</f>
        <v>0</v>
      </c>
      <c r="I14" s="387" t="s">
        <v>213</v>
      </c>
      <c r="J14" s="398"/>
    </row>
    <row r="15" spans="1:10" s="407" customFormat="1" ht="27" customHeight="1" thickBot="1" x14ac:dyDescent="0.25">
      <c r="A15" s="405">
        <v>0</v>
      </c>
      <c r="B15" s="406" t="str">
        <f ca="1">IF(B2="Общо","Дата:"," ")</f>
        <v xml:space="preserve"> </v>
      </c>
      <c r="C15" s="388"/>
      <c r="E15" s="404" t="str">
        <f ca="1">IF(B2="Общо","Счетоводител:"," ")</f>
        <v xml:space="preserve"> </v>
      </c>
      <c r="H15" s="404" t="str">
        <f ca="1">IF(B2="Общо","Управител:"," ")</f>
        <v xml:space="preserve"> </v>
      </c>
    </row>
    <row r="16" spans="1:10" ht="16.5" x14ac:dyDescent="0.3">
      <c r="A16" s="403">
        <f ca="1">IF(B16="Общо"," ",A29+1)</f>
        <v>2</v>
      </c>
      <c r="B16" s="453">
        <f ca="1">OFFSET(РПВ!$B$8,A29,)</f>
        <v>0</v>
      </c>
      <c r="C16" s="454"/>
      <c r="D16" s="454"/>
      <c r="E16" s="454"/>
      <c r="F16" s="454"/>
      <c r="G16" s="389" t="str">
        <f ca="1">IF(B16="Общо"," ",IF(OFFSET(РПВ!$E$8,A29,)=""," ",OFFSET(РПВ!$E$8,A29,)))</f>
        <v xml:space="preserve"> </v>
      </c>
      <c r="H16" s="399" t="str">
        <f ca="1">IF(B16="Общо"," ",IF(I16=" "," ","ЕГН:"))</f>
        <v xml:space="preserve"> </v>
      </c>
      <c r="I16" s="455" t="str">
        <f ca="1">IF(B16="Общо"," ",IF(OFFSET(РПВ!$FD$8,A29,)=""," ",OFFSET(РПВ!$FD$8,A29,)))</f>
        <v xml:space="preserve"> </v>
      </c>
      <c r="J16" s="456"/>
    </row>
    <row r="17" spans="1:10" x14ac:dyDescent="0.2">
      <c r="B17" s="374" t="s">
        <v>563</v>
      </c>
      <c r="C17" s="390">
        <f ca="1">OFFSET(РПВ!$J$8,A29,)</f>
        <v>0</v>
      </c>
      <c r="D17" s="375">
        <f ca="1">OFFSET(РПВ!$L$8,A29,)</f>
        <v>0</v>
      </c>
      <c r="E17" s="376" t="s">
        <v>564</v>
      </c>
      <c r="F17" s="375">
        <v>0</v>
      </c>
      <c r="G17" s="377" t="s">
        <v>565</v>
      </c>
      <c r="H17" s="375">
        <f ca="1">OFFSET(РПВ!$DH$8,A29,)</f>
        <v>0</v>
      </c>
      <c r="I17" s="377" t="s">
        <v>566</v>
      </c>
      <c r="J17" s="396">
        <f ca="1">OFFSET(РПВ!$AI$8,A29,)</f>
        <v>0</v>
      </c>
    </row>
    <row r="18" spans="1:10" x14ac:dyDescent="0.2">
      <c r="B18" s="378" t="s">
        <v>567</v>
      </c>
      <c r="C18" s="391">
        <f ca="1">IF(B16="Общо","-",OFFSET(РПВ!$Q$8,A29,))</f>
        <v>0</v>
      </c>
      <c r="D18" s="379">
        <f ca="1">OFFSET(РПВ!$R$8,A29,)</f>
        <v>0</v>
      </c>
      <c r="E18" s="380" t="s">
        <v>568</v>
      </c>
      <c r="F18" s="379">
        <f ca="1">OFFSET(РПВ!$Z$8,A29,)</f>
        <v>0</v>
      </c>
      <c r="G18" s="380" t="s">
        <v>569</v>
      </c>
      <c r="H18" s="379">
        <f ca="1">OFFSET(РПВ!$DR$8,A29,)</f>
        <v>0</v>
      </c>
      <c r="I18" s="381" t="s">
        <v>570</v>
      </c>
      <c r="J18" s="397">
        <f ca="1">OFFSET(РПВ!$AH$8,A29,)</f>
        <v>0</v>
      </c>
    </row>
    <row r="19" spans="1:10" x14ac:dyDescent="0.2">
      <c r="B19" s="378" t="s">
        <v>571</v>
      </c>
      <c r="C19" s="392">
        <f ca="1">IF(B16="Общо","-",OFFSET(РПВ!$N$8,A29,))</f>
        <v>0</v>
      </c>
      <c r="D19" s="379">
        <f ca="1">OFFSET(РПВ!$O$8,A29,)</f>
        <v>0</v>
      </c>
      <c r="E19" s="380" t="s">
        <v>572</v>
      </c>
      <c r="F19" s="379">
        <f ca="1">OFFSET(РПВ!$AA$8,A29,)</f>
        <v>0</v>
      </c>
      <c r="G19" s="380" t="s">
        <v>573</v>
      </c>
      <c r="H19" s="379">
        <f ca="1">OFFSET(РПВ!$AF$8,A29,)</f>
        <v>0</v>
      </c>
      <c r="I19" s="381" t="s">
        <v>574</v>
      </c>
      <c r="J19" s="397">
        <f ca="1">OFFSET(РПВ!$AJ$8,A29,)</f>
        <v>0</v>
      </c>
    </row>
    <row r="20" spans="1:10" x14ac:dyDescent="0.2">
      <c r="B20" s="382" t="s">
        <v>306</v>
      </c>
      <c r="C20" s="401">
        <f ca="1">IF(B16="Общо","-",OFFSET(РПВ!$M$8,A29,))</f>
        <v>0</v>
      </c>
      <c r="D20" s="422"/>
      <c r="E20" s="424" t="s">
        <v>615</v>
      </c>
      <c r="F20" s="379">
        <f ca="1">(OFFSET(РПВ!$CI$8,A29,)+OFFSET(РПВ!$CJ$8,A29,))</f>
        <v>0</v>
      </c>
      <c r="G20" s="380" t="s">
        <v>575</v>
      </c>
      <c r="H20" s="379">
        <f ca="1">OFFSET(РПВ!$DM$8,A29,)+OFFSET(РПВ!$DN$8,A29,)</f>
        <v>0</v>
      </c>
      <c r="I20" s="381" t="s">
        <v>576</v>
      </c>
      <c r="J20" s="397">
        <f ca="1">OFFSET(РПВ!$AK$8,A29,)</f>
        <v>0</v>
      </c>
    </row>
    <row r="21" spans="1:10" x14ac:dyDescent="0.2">
      <c r="B21" s="382" t="s">
        <v>577</v>
      </c>
      <c r="C21" s="393"/>
      <c r="D21" s="379">
        <f ca="1">OFFSET(РПВ!$U$8,A29,)</f>
        <v>0</v>
      </c>
      <c r="E21" s="423" t="s">
        <v>614</v>
      </c>
      <c r="F21" s="379">
        <f ca="1">(OFFSET(РПВ!$BG$8,A29,)+OFFSET(РПВ!$BH$8,A29,))</f>
        <v>0</v>
      </c>
      <c r="G21" s="383" t="s">
        <v>578</v>
      </c>
      <c r="H21" s="384">
        <f ca="1">OFFSET(РПВ!$FB$8,A29,)</f>
        <v>0</v>
      </c>
      <c r="I21" s="380" t="s">
        <v>579</v>
      </c>
      <c r="J21" s="397">
        <v>0</v>
      </c>
    </row>
    <row r="22" spans="1:10" x14ac:dyDescent="0.2">
      <c r="B22" s="382" t="s">
        <v>580</v>
      </c>
      <c r="C22" s="393"/>
      <c r="D22" s="379">
        <v>0</v>
      </c>
      <c r="E22" s="380"/>
      <c r="F22" s="379"/>
      <c r="G22" s="383" t="s">
        <v>581</v>
      </c>
      <c r="H22" s="384">
        <f ca="1">OFFSET(РПВ!$DO$8,A29,)</f>
        <v>0</v>
      </c>
      <c r="I22" s="381" t="s">
        <v>582</v>
      </c>
      <c r="J22" s="397">
        <f ca="1">OFFSET(РПВ!$AL$8,A29,)</f>
        <v>0</v>
      </c>
    </row>
    <row r="23" spans="1:10" x14ac:dyDescent="0.2">
      <c r="B23" s="382" t="s">
        <v>583</v>
      </c>
      <c r="C23" s="393"/>
      <c r="D23" s="379">
        <f ca="1">OFFSET(РПВ!$V$8,A29,)</f>
        <v>0</v>
      </c>
      <c r="E23" s="380"/>
      <c r="F23" s="379"/>
      <c r="G23" s="383" t="s">
        <v>584</v>
      </c>
      <c r="H23" s="384">
        <f ca="1">OFFSET(РПВ!$DQ$8,A29,)</f>
        <v>0</v>
      </c>
      <c r="I23" s="380" t="s">
        <v>513</v>
      </c>
      <c r="J23" s="397">
        <f ca="1">OFFSET(РПВ!$AM$8,A29,)</f>
        <v>0</v>
      </c>
    </row>
    <row r="24" spans="1:10" x14ac:dyDescent="0.2">
      <c r="B24" s="382" t="s">
        <v>599</v>
      </c>
      <c r="C24" s="394">
        <f ca="1">IF(B16="Общо","-",OFFSET(РПВ!$S$8,A29,)+OFFSET(РПВ!$W$8,A29,)+OFFSET(РПВ!$Y$8,A29,))</f>
        <v>0</v>
      </c>
      <c r="D24" s="379">
        <f ca="1">OFFSET(РПВ!$T$8,A29,)</f>
        <v>0</v>
      </c>
      <c r="E24" s="381" t="s">
        <v>600</v>
      </c>
      <c r="F24" s="379">
        <f ca="1">OFFSET(РПВ!$AB$8,A29,)</f>
        <v>0</v>
      </c>
      <c r="G24" s="383" t="s">
        <v>585</v>
      </c>
      <c r="H24" s="384">
        <f ca="1">OFFSET(РПВ!$DP$8,A29,)</f>
        <v>0</v>
      </c>
      <c r="I24" s="381" t="s">
        <v>586</v>
      </c>
      <c r="J24" s="397">
        <f ca="1">OFFSET(РПВ!$AO$8,A29,)</f>
        <v>0</v>
      </c>
    </row>
    <row r="25" spans="1:10" x14ac:dyDescent="0.2">
      <c r="B25" s="382" t="s">
        <v>587</v>
      </c>
      <c r="C25" s="392">
        <f ca="1">IF(B16="Общо","-",OFFSET(РПВ!$W$8,A29,))</f>
        <v>0</v>
      </c>
      <c r="D25" s="379"/>
      <c r="E25" s="380" t="s">
        <v>601</v>
      </c>
      <c r="F25" s="379">
        <f ca="1">(OFFSET(РПВ!$CM$8,A29,)+OFFSET(РПВ!$CN$8,A29,)+OFFSET(РПВ!$CW$8,A29,)+OFFSET(РПВ!$CX$8,A29,)+OFFSET(РПВ!$CY$8,A29,)+OFFSET(РПВ!$CZ$8,A29,)+OFFSET(РПВ!$DA$8,A29,)+OFFSET(РПВ!$DB$8,A29,)+OFFSET(РПВ!$DC$8,A29,)+OFFSET(РПВ!$DD$8,A29,)+OFFSET(РПВ!$DE$8,A29,)+OFFSET(РПВ!$DF$8,A29,))</f>
        <v>0</v>
      </c>
      <c r="G25" s="383" t="s">
        <v>588</v>
      </c>
      <c r="H25" s="384">
        <f ca="1">OFFSET(РПВ!$DK$8,A29,)+OFFSET(РПВ!$DL$8,A29,)</f>
        <v>0</v>
      </c>
      <c r="I25" s="381" t="s">
        <v>589</v>
      </c>
      <c r="J25" s="397"/>
    </row>
    <row r="26" spans="1:10" x14ac:dyDescent="0.2">
      <c r="B26" s="382" t="s">
        <v>590</v>
      </c>
      <c r="C26" s="392">
        <f ca="1">IF(B16="Общо","-",OFFSET(РПВ!$S$8,A29,))</f>
        <v>0</v>
      </c>
      <c r="D26" s="379">
        <f ca="1">OFFSET(РПВ!$T$8,A29,)</f>
        <v>0</v>
      </c>
      <c r="E26" s="380" t="s">
        <v>602</v>
      </c>
      <c r="F26" s="379">
        <f ca="1">OFFSET(РПВ!$DG$8,A29,)</f>
        <v>0</v>
      </c>
      <c r="G26" s="383" t="s">
        <v>591</v>
      </c>
      <c r="H26" s="384">
        <f ca="1">OFFSET(РПВ!$AG$8,A29,)</f>
        <v>0</v>
      </c>
      <c r="I26" s="380" t="s">
        <v>592</v>
      </c>
      <c r="J26" s="397">
        <f ca="1">IF(OFFSET(РПВ!$AW$8,A29,)="да",0,OFFSET(РПВ!$AQ$8,A29,))</f>
        <v>0</v>
      </c>
    </row>
    <row r="27" spans="1:10" x14ac:dyDescent="0.2">
      <c r="B27" s="382" t="s">
        <v>593</v>
      </c>
      <c r="C27" s="392">
        <f ca="1">IF(B16="Общо","-",OFFSET(РПВ!$X$8,A29,))</f>
        <v>0</v>
      </c>
      <c r="D27" s="379"/>
      <c r="E27" s="380" t="s">
        <v>594</v>
      </c>
      <c r="F27" s="379">
        <f ca="1">OFFSET(РПВ!$AC$8,A29,)</f>
        <v>0</v>
      </c>
      <c r="G27" s="383" t="s">
        <v>595</v>
      </c>
      <c r="H27" s="384">
        <f ca="1">OFFSET(РПВ!$DI$8,A29,)+OFFSET(РПВ!$DJ$8,A29,)</f>
        <v>0</v>
      </c>
      <c r="I27" s="380" t="s">
        <v>596</v>
      </c>
      <c r="J27" s="397">
        <f ca="1">IF(OFFSET(РПВ!$AW$8,A29,)="не",0,OFFSET(РПВ!$AX$8,A29,))</f>
        <v>0</v>
      </c>
    </row>
    <row r="28" spans="1:10" ht="13.5" thickBot="1" x14ac:dyDescent="0.25">
      <c r="B28" s="385" t="s">
        <v>64</v>
      </c>
      <c r="C28" s="395"/>
      <c r="D28" s="386">
        <f ca="1">OFFSET(РПВ!$P$8,A29,)</f>
        <v>0</v>
      </c>
      <c r="E28" s="387" t="s">
        <v>597</v>
      </c>
      <c r="F28" s="386">
        <f ca="1">OFFSET(РПВ!$CO$8,A29,)+OFFSET(РПВ!$CP$8,A29,)+OFFSET(РПВ!$CQ$8,A29,)+OFFSET(РПВ!$CR$8,A29,)+OFFSET(РПВ!$CS$8,A29,)+OFFSET(РПВ!$CT$8,A29,)+OFFSET(РПВ!$CU$8,A29,)+OFFSET(РПВ!$CV$8,A29,)</f>
        <v>0</v>
      </c>
      <c r="G28" s="387" t="s">
        <v>598</v>
      </c>
      <c r="H28" s="386">
        <f ca="1">OFFSET(РПВ!$Y$8,A29,)</f>
        <v>0</v>
      </c>
      <c r="I28" s="387" t="s">
        <v>213</v>
      </c>
      <c r="J28" s="398"/>
    </row>
    <row r="29" spans="1:10" s="407" customFormat="1" ht="27" customHeight="1" thickBot="1" x14ac:dyDescent="0.25">
      <c r="A29" s="405">
        <v>1</v>
      </c>
      <c r="B29" s="406" t="str">
        <f ca="1">IF(B16="Общо","Дата:"," ")</f>
        <v xml:space="preserve"> </v>
      </c>
      <c r="C29" s="388"/>
      <c r="E29" s="404" t="str">
        <f ca="1">IF(B16="Общо","Счетоводител:"," ")</f>
        <v xml:space="preserve"> </v>
      </c>
      <c r="H29" s="404" t="str">
        <f ca="1">IF(B16="Общо","Управител:"," ")</f>
        <v xml:space="preserve"> </v>
      </c>
    </row>
    <row r="30" spans="1:10" ht="16.5" x14ac:dyDescent="0.3">
      <c r="A30" s="403" t="str">
        <f ca="1">IF(B30="Общо"," ",A43+1)</f>
        <v xml:space="preserve"> </v>
      </c>
      <c r="B30" s="453" t="str">
        <f ca="1">OFFSET(РПВ!$B$8,A43,)</f>
        <v>Общо</v>
      </c>
      <c r="C30" s="454"/>
      <c r="D30" s="454"/>
      <c r="E30" s="454"/>
      <c r="F30" s="454"/>
      <c r="G30" s="389" t="str">
        <f ca="1">IF(B30="Общо"," ",IF(OFFSET(РПВ!$E$8,A43,)=""," ",OFFSET(РПВ!$E$8,A43,)))</f>
        <v xml:space="preserve"> </v>
      </c>
      <c r="H30" s="399" t="str">
        <f ca="1">IF(B30="Общо"," ",IF(I30=" "," ","ЕГН:"))</f>
        <v xml:space="preserve"> </v>
      </c>
      <c r="I30" s="455" t="str">
        <f ca="1">IF(B30="Общо"," ",IF(OFFSET(РПВ!$FD$8,A43,)=""," ",OFFSET(РПВ!$FD$8,A43,)))</f>
        <v xml:space="preserve"> </v>
      </c>
      <c r="J30" s="456"/>
    </row>
    <row r="31" spans="1:10" x14ac:dyDescent="0.2">
      <c r="B31" s="374" t="s">
        <v>563</v>
      </c>
      <c r="C31" s="390" t="str">
        <f ca="1">OFFSET(РПВ!$J$8,A43,)</f>
        <v>-</v>
      </c>
      <c r="D31" s="375">
        <f ca="1">OFFSET(РПВ!$L$8,A43,)</f>
        <v>0</v>
      </c>
      <c r="E31" s="376" t="s">
        <v>564</v>
      </c>
      <c r="F31" s="375">
        <v>0</v>
      </c>
      <c r="G31" s="377" t="s">
        <v>565</v>
      </c>
      <c r="H31" s="375">
        <f ca="1">OFFSET(РПВ!$DH$8,A43,)</f>
        <v>0</v>
      </c>
      <c r="I31" s="377" t="s">
        <v>566</v>
      </c>
      <c r="J31" s="396">
        <f ca="1">OFFSET(РПВ!$AI$8,A43,)</f>
        <v>0</v>
      </c>
    </row>
    <row r="32" spans="1:10" x14ac:dyDescent="0.2">
      <c r="B32" s="378" t="s">
        <v>567</v>
      </c>
      <c r="C32" s="391" t="str">
        <f ca="1">IF(B30="Общо","-",OFFSET(РПВ!$Q$8,A43,))</f>
        <v>-</v>
      </c>
      <c r="D32" s="379">
        <f ca="1">OFFSET(РПВ!$R$8,A43,)</f>
        <v>0</v>
      </c>
      <c r="E32" s="380" t="s">
        <v>568</v>
      </c>
      <c r="F32" s="379">
        <f ca="1">OFFSET(РПВ!$Z$8,A43,)</f>
        <v>0</v>
      </c>
      <c r="G32" s="380" t="s">
        <v>569</v>
      </c>
      <c r="H32" s="379">
        <f ca="1">OFFSET(РПВ!$DR$8,A43,)</f>
        <v>0</v>
      </c>
      <c r="I32" s="381" t="s">
        <v>570</v>
      </c>
      <c r="J32" s="397">
        <f ca="1">OFFSET(РПВ!$AH$8,A43,)</f>
        <v>0</v>
      </c>
    </row>
    <row r="33" spans="1:10" x14ac:dyDescent="0.2">
      <c r="B33" s="378" t="s">
        <v>571</v>
      </c>
      <c r="C33" s="392" t="str">
        <f ca="1">IF(B30="Общо","-",OFFSET(РПВ!$N$8,A43,))</f>
        <v>-</v>
      </c>
      <c r="D33" s="379">
        <f ca="1">OFFSET(РПВ!$O$8,A43,)</f>
        <v>0</v>
      </c>
      <c r="E33" s="380" t="s">
        <v>572</v>
      </c>
      <c r="F33" s="379">
        <f ca="1">OFFSET(РПВ!$AA$8,A43,)</f>
        <v>0</v>
      </c>
      <c r="G33" s="380" t="s">
        <v>573</v>
      </c>
      <c r="H33" s="379">
        <f ca="1">OFFSET(РПВ!$AF$8,A43,)</f>
        <v>0</v>
      </c>
      <c r="I33" s="381" t="s">
        <v>574</v>
      </c>
      <c r="J33" s="397">
        <f ca="1">OFFSET(РПВ!$AJ$8,A43,)</f>
        <v>0</v>
      </c>
    </row>
    <row r="34" spans="1:10" x14ac:dyDescent="0.2">
      <c r="B34" s="382" t="s">
        <v>306</v>
      </c>
      <c r="C34" s="401" t="str">
        <f ca="1">IF(B30="Общо","-",OFFSET(РПВ!$M$8,A43,))</f>
        <v>-</v>
      </c>
      <c r="D34" s="422"/>
      <c r="E34" s="424" t="s">
        <v>615</v>
      </c>
      <c r="F34" s="379">
        <f ca="1">(OFFSET(РПВ!$CI$8,A43,)+OFFSET(РПВ!$CJ$8,A43,))</f>
        <v>0</v>
      </c>
      <c r="G34" s="380" t="s">
        <v>575</v>
      </c>
      <c r="H34" s="379">
        <f ca="1">OFFSET(РПВ!$DM$8,A43,)+OFFSET(РПВ!$DN$8,A43,)</f>
        <v>0</v>
      </c>
      <c r="I34" s="381" t="s">
        <v>576</v>
      </c>
      <c r="J34" s="397">
        <f ca="1">OFFSET(РПВ!$AK$8,A43,)</f>
        <v>0</v>
      </c>
    </row>
    <row r="35" spans="1:10" x14ac:dyDescent="0.2">
      <c r="B35" s="382" t="s">
        <v>577</v>
      </c>
      <c r="C35" s="393"/>
      <c r="D35" s="379">
        <f ca="1">OFFSET(РПВ!$U$8,A43,)</f>
        <v>0</v>
      </c>
      <c r="E35" s="423" t="s">
        <v>614</v>
      </c>
      <c r="F35" s="379">
        <f ca="1">(OFFSET(РПВ!$BG$8,A43,)+OFFSET(РПВ!$BH$8,A43,))</f>
        <v>0</v>
      </c>
      <c r="G35" s="383" t="s">
        <v>578</v>
      </c>
      <c r="H35" s="384">
        <f ca="1">OFFSET(РПВ!$FB$8,A43,)</f>
        <v>0</v>
      </c>
      <c r="I35" s="380" t="s">
        <v>579</v>
      </c>
      <c r="J35" s="397">
        <v>0</v>
      </c>
    </row>
    <row r="36" spans="1:10" x14ac:dyDescent="0.2">
      <c r="B36" s="382" t="s">
        <v>580</v>
      </c>
      <c r="C36" s="393"/>
      <c r="D36" s="379">
        <v>0</v>
      </c>
      <c r="E36" s="380"/>
      <c r="F36" s="379"/>
      <c r="G36" s="383" t="s">
        <v>581</v>
      </c>
      <c r="H36" s="384">
        <f ca="1">OFFSET(РПВ!$DO$8,A43,)</f>
        <v>0</v>
      </c>
      <c r="I36" s="381" t="s">
        <v>582</v>
      </c>
      <c r="J36" s="397">
        <f ca="1">OFFSET(РПВ!$AL$8,A43,)</f>
        <v>0</v>
      </c>
    </row>
    <row r="37" spans="1:10" x14ac:dyDescent="0.2">
      <c r="B37" s="382" t="s">
        <v>583</v>
      </c>
      <c r="C37" s="393"/>
      <c r="D37" s="379">
        <f ca="1">OFFSET(РПВ!$V$8,A43,)</f>
        <v>0</v>
      </c>
      <c r="E37" s="380"/>
      <c r="F37" s="379"/>
      <c r="G37" s="383" t="s">
        <v>584</v>
      </c>
      <c r="H37" s="384">
        <f ca="1">OFFSET(РПВ!$DQ$8,A43,)</f>
        <v>0</v>
      </c>
      <c r="I37" s="380" t="s">
        <v>513</v>
      </c>
      <c r="J37" s="397">
        <f ca="1">OFFSET(РПВ!$AM$8,A43,)</f>
        <v>0</v>
      </c>
    </row>
    <row r="38" spans="1:10" x14ac:dyDescent="0.2">
      <c r="B38" s="382" t="s">
        <v>599</v>
      </c>
      <c r="C38" s="394" t="str">
        <f ca="1">IF(B30="Общо","-",OFFSET(РПВ!$S$8,A43,)+OFFSET(РПВ!$W$8,A43,)+OFFSET(РПВ!$Y$8,A43,))</f>
        <v>-</v>
      </c>
      <c r="D38" s="379">
        <f ca="1">OFFSET(РПВ!$T$8,A43,)</f>
        <v>0</v>
      </c>
      <c r="E38" s="381" t="s">
        <v>600</v>
      </c>
      <c r="F38" s="379">
        <f ca="1">OFFSET(РПВ!$AB$8,A43,)</f>
        <v>0</v>
      </c>
      <c r="G38" s="383" t="s">
        <v>585</v>
      </c>
      <c r="H38" s="384">
        <f ca="1">OFFSET(РПВ!$DP$8,A43,)</f>
        <v>0</v>
      </c>
      <c r="I38" s="381" t="s">
        <v>586</v>
      </c>
      <c r="J38" s="397">
        <f ca="1">OFFSET(РПВ!$AO$8,A43,)</f>
        <v>0</v>
      </c>
    </row>
    <row r="39" spans="1:10" x14ac:dyDescent="0.2">
      <c r="B39" s="382" t="s">
        <v>587</v>
      </c>
      <c r="C39" s="392" t="str">
        <f ca="1">IF(B30="Общо","-",OFFSET(РПВ!$W$8,A43,))</f>
        <v>-</v>
      </c>
      <c r="D39" s="379"/>
      <c r="E39" s="380" t="s">
        <v>601</v>
      </c>
      <c r="F39" s="379">
        <f ca="1">(OFFSET(РПВ!$CM$8,A43,)+OFFSET(РПВ!$CN$8,A43,)+OFFSET(РПВ!$CW$8,A43,)+OFFSET(РПВ!$CX$8,A43,)+OFFSET(РПВ!$CY$8,A43,)+OFFSET(РПВ!$CZ$8,A43,)+OFFSET(РПВ!$DA$8,A43,)+OFFSET(РПВ!$DB$8,A43,)+OFFSET(РПВ!$DC$8,A43,)+OFFSET(РПВ!$DD$8,A43,)+OFFSET(РПВ!$DE$8,A43,)+OFFSET(РПВ!$DF$8,A43,))</f>
        <v>0</v>
      </c>
      <c r="G39" s="383" t="s">
        <v>588</v>
      </c>
      <c r="H39" s="384">
        <f ca="1">OFFSET(РПВ!$DK$8,A43,)+OFFSET(РПВ!$DL$8,A43,)</f>
        <v>0</v>
      </c>
      <c r="I39" s="381" t="s">
        <v>589</v>
      </c>
      <c r="J39" s="397"/>
    </row>
    <row r="40" spans="1:10" x14ac:dyDescent="0.2">
      <c r="B40" s="382" t="s">
        <v>590</v>
      </c>
      <c r="C40" s="392" t="str">
        <f ca="1">IF(B30="Общо","-",OFFSET(РПВ!$S$8,A43,))</f>
        <v>-</v>
      </c>
      <c r="D40" s="379">
        <f ca="1">OFFSET(РПВ!$T$8,A43,)</f>
        <v>0</v>
      </c>
      <c r="E40" s="380" t="s">
        <v>602</v>
      </c>
      <c r="F40" s="379">
        <f ca="1">OFFSET(РПВ!$DG$8,A43,)</f>
        <v>0</v>
      </c>
      <c r="G40" s="383" t="s">
        <v>591</v>
      </c>
      <c r="H40" s="384">
        <f ca="1">OFFSET(РПВ!$AG$8,A43,)</f>
        <v>0</v>
      </c>
      <c r="I40" s="380" t="s">
        <v>592</v>
      </c>
      <c r="J40" s="397">
        <f ca="1">IF(OFFSET(РПВ!$AW$8,A43,)="да",0,OFFSET(РПВ!$AQ$8,A43,))</f>
        <v>0</v>
      </c>
    </row>
    <row r="41" spans="1:10" x14ac:dyDescent="0.2">
      <c r="B41" s="382" t="s">
        <v>593</v>
      </c>
      <c r="C41" s="392" t="str">
        <f ca="1">IF(B30="Общо","-",OFFSET(РПВ!$X$8,A43,))</f>
        <v>-</v>
      </c>
      <c r="D41" s="379"/>
      <c r="E41" s="380" t="s">
        <v>594</v>
      </c>
      <c r="F41" s="379">
        <f ca="1">OFFSET(РПВ!$AC$8,A43,)</f>
        <v>0</v>
      </c>
      <c r="G41" s="383" t="s">
        <v>595</v>
      </c>
      <c r="H41" s="384">
        <f ca="1">OFFSET(РПВ!$DI$8,A43,)+OFFSET(РПВ!$DJ$8,A43,)</f>
        <v>0</v>
      </c>
      <c r="I41" s="380" t="s">
        <v>596</v>
      </c>
      <c r="J41" s="397">
        <f ca="1">IF(OFFSET(РПВ!$AW$8,A43,)="не",0,OFFSET(РПВ!$AX$8,A43,))</f>
        <v>0</v>
      </c>
    </row>
    <row r="42" spans="1:10" ht="13.5" thickBot="1" x14ac:dyDescent="0.25">
      <c r="B42" s="385" t="s">
        <v>64</v>
      </c>
      <c r="C42" s="395"/>
      <c r="D42" s="386">
        <f ca="1">OFFSET(РПВ!$P$8,A43,)</f>
        <v>0</v>
      </c>
      <c r="E42" s="387" t="s">
        <v>597</v>
      </c>
      <c r="F42" s="386">
        <f ca="1">OFFSET(РПВ!$CO$8,A43,)+OFFSET(РПВ!$CP$8,A43,)+OFFSET(РПВ!$CQ$8,A43,)+OFFSET(РПВ!$CR$8,A43,)+OFFSET(РПВ!$CS$8,A43,)+OFFSET(РПВ!$CT$8,A43,)+OFFSET(РПВ!$CU$8,A43,)+OFFSET(РПВ!$CV$8,A43,)</f>
        <v>0</v>
      </c>
      <c r="G42" s="387" t="s">
        <v>598</v>
      </c>
      <c r="H42" s="386">
        <f ca="1">OFFSET(РПВ!$Y$8,A43,)</f>
        <v>0</v>
      </c>
      <c r="I42" s="387" t="s">
        <v>213</v>
      </c>
      <c r="J42" s="398"/>
    </row>
    <row r="43" spans="1:10" s="407" customFormat="1" ht="27" customHeight="1" x14ac:dyDescent="0.2">
      <c r="A43" s="405">
        <v>3</v>
      </c>
      <c r="B43" s="406" t="str">
        <f ca="1">IF(B30="Общо","Дата:"," ")</f>
        <v>Дата:</v>
      </c>
      <c r="C43" s="388"/>
      <c r="E43" s="404" t="str">
        <f ca="1">IF(B30="Общо","Счетоводител:"," ")</f>
        <v>Счетоводител:</v>
      </c>
      <c r="H43" s="404" t="str">
        <f ca="1">IF(B30="Общо","Управител:"," ")</f>
        <v>Управител:</v>
      </c>
    </row>
  </sheetData>
  <mergeCells count="6">
    <mergeCell ref="B16:F16"/>
    <mergeCell ref="I16:J16"/>
    <mergeCell ref="B30:F30"/>
    <mergeCell ref="I30:J30"/>
    <mergeCell ref="I2:J2"/>
    <mergeCell ref="B2:F2"/>
  </mergeCells>
  <pageMargins left="0.51181102362204722" right="0.31496062992125984" top="0.86614173228346458" bottom="0.74803149606299213" header="0.31496062992125984" footer="0.31496062992125984"/>
  <pageSetup paperSize="9" scale="93" fitToHeight="0" orientation="portrait" verticalDpi="0" r:id="rId1"/>
  <headerFooter>
    <oddHeader>&amp;R&amp;B&amp;12 Булстат 
987654322&amp;C&amp;B&amp;16 РАЗЧЕТНО-ПЛАТЕЖНА ВЕДОМОСТ
&amp;B&amp;I&amp;16 на Проба ЕООД за месец януари 2014 год.</oddHeader>
    <oddFooter>&amp;R&amp;B&amp;10 стр. &amp;P от &amp;N&amp;L&amp;10&amp;B Генерирано чрез TROX РПВ
 вер.2014,06 | www.trox-bg.com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6">
    <pageSetUpPr fitToPage="1"/>
  </sheetPr>
  <dimension ref="A1:R40"/>
  <sheetViews>
    <sheetView showGridLines="0" workbookViewId="0">
      <pane ySplit="1" topLeftCell="A2" activePane="bottomLeft" state="frozen"/>
      <selection activeCell="B1" sqref="B1"/>
      <selection pane="bottomLeft" activeCell="P2" sqref="P2"/>
    </sheetView>
  </sheetViews>
  <sheetFormatPr defaultRowHeight="12.75" x14ac:dyDescent="0.2"/>
  <cols>
    <col min="1" max="1" width="3.140625" style="11" hidden="1" customWidth="1"/>
    <col min="2" max="2" width="30.42578125" style="11" customWidth="1"/>
    <col min="3" max="3" width="4.140625" style="11" customWidth="1"/>
    <col min="4" max="4" width="9.85546875" style="11" customWidth="1"/>
    <col min="5" max="5" width="2" style="11" bestFit="1" customWidth="1"/>
    <col min="6" max="6" width="7" style="11" customWidth="1"/>
    <col min="7" max="7" width="23.28515625" style="11" customWidth="1"/>
    <col min="8" max="8" width="9.28515625" style="11" customWidth="1"/>
    <col min="9" max="9" width="1.5703125" style="11" customWidth="1"/>
    <col min="10" max="10" width="0.28515625" style="11" customWidth="1"/>
    <col min="11" max="11" width="1.28515625" style="11" customWidth="1"/>
    <col min="12" max="12" width="30.42578125" style="11" customWidth="1"/>
    <col min="13" max="13" width="4.140625" style="11" customWidth="1"/>
    <col min="14" max="14" width="9.85546875" style="11" customWidth="1"/>
    <col min="15" max="15" width="2" style="11" bestFit="1" customWidth="1"/>
    <col min="16" max="16" width="7" style="11" customWidth="1"/>
    <col min="17" max="17" width="23.28515625" style="11" customWidth="1"/>
    <col min="18" max="18" width="9.28515625" style="11" customWidth="1"/>
    <col min="19" max="16384" width="9.140625" style="11"/>
  </cols>
  <sheetData>
    <row r="1" spans="1:18" ht="22.5" customHeight="1" x14ac:dyDescent="0.2">
      <c r="A1" s="24">
        <v>1</v>
      </c>
      <c r="B1" s="46" t="s">
        <v>38</v>
      </c>
      <c r="C1" s="47"/>
      <c r="D1" s="47"/>
      <c r="F1" s="11" t="s">
        <v>343</v>
      </c>
      <c r="G1" s="48"/>
      <c r="L1" s="46"/>
      <c r="M1" s="47"/>
      <c r="N1" s="47"/>
      <c r="Q1" s="48" t="s">
        <v>347</v>
      </c>
    </row>
    <row r="2" spans="1:18" ht="12.75" customHeight="1" x14ac:dyDescent="0.2">
      <c r="B2" s="46"/>
      <c r="C2" s="47"/>
      <c r="D2" s="47"/>
      <c r="G2" s="48"/>
      <c r="J2" s="170"/>
      <c r="L2" s="46"/>
      <c r="M2" s="47"/>
      <c r="N2" s="47"/>
      <c r="Q2" s="48"/>
    </row>
    <row r="3" spans="1:18" ht="19.5" customHeight="1" x14ac:dyDescent="0.2">
      <c r="B3" s="462" t="str">
        <f>РПВ!L2</f>
        <v>Проба ЕООД</v>
      </c>
      <c r="C3" s="462"/>
      <c r="D3" s="462"/>
      <c r="E3" s="462"/>
      <c r="F3" s="462"/>
      <c r="G3" s="462"/>
      <c r="H3" s="462"/>
      <c r="J3" s="170"/>
      <c r="L3" s="462" t="str">
        <f>B3</f>
        <v>Проба ЕООД</v>
      </c>
      <c r="M3" s="462"/>
      <c r="N3" s="462"/>
      <c r="O3" s="462"/>
      <c r="P3" s="462"/>
      <c r="Q3" s="462"/>
      <c r="R3" s="462"/>
    </row>
    <row r="4" spans="1:18" ht="16.5" customHeight="1" x14ac:dyDescent="0.2">
      <c r="B4" s="44"/>
      <c r="C4" s="44"/>
      <c r="D4" s="44"/>
      <c r="E4" s="44"/>
      <c r="F4" s="44"/>
      <c r="G4" s="44"/>
      <c r="H4" s="44"/>
      <c r="J4" s="170"/>
      <c r="L4" s="44"/>
      <c r="M4" s="44"/>
      <c r="N4" s="44"/>
      <c r="O4" s="44"/>
      <c r="P4" s="44"/>
      <c r="Q4" s="44"/>
      <c r="R4" s="44"/>
    </row>
    <row r="5" spans="1:18" ht="17.25" customHeight="1" x14ac:dyDescent="0.2">
      <c r="B5" s="464">
        <f>VLOOKUP($A$1,РПВ!$A$8:$AT$10,2,FALSE)</f>
        <v>0</v>
      </c>
      <c r="C5" s="464"/>
      <c r="D5" s="464"/>
      <c r="E5" s="49"/>
      <c r="F5" s="50">
        <f>VLOOKUP($A$1,РПВ!$A$8:$AT$10,4,FALSE)</f>
        <v>0</v>
      </c>
      <c r="G5" s="51" t="s">
        <v>67</v>
      </c>
      <c r="H5" s="52">
        <f>VLOOKUP($A$1,РПВ!$A$8:$AT$10,3,FALSE)</f>
        <v>1</v>
      </c>
      <c r="J5" s="170"/>
      <c r="L5" s="464">
        <f>B5</f>
        <v>0</v>
      </c>
      <c r="M5" s="464"/>
      <c r="N5" s="464"/>
      <c r="O5" s="49"/>
      <c r="P5" s="50">
        <f>F5</f>
        <v>0</v>
      </c>
      <c r="Q5" s="51" t="str">
        <f>G5</f>
        <v>вид осигурен</v>
      </c>
      <c r="R5" s="52">
        <f>H5</f>
        <v>1</v>
      </c>
    </row>
    <row r="6" spans="1:18" ht="12.75" customHeight="1" x14ac:dyDescent="0.2">
      <c r="B6" s="458" t="str">
        <f>VLOOKUP(H5,Систем!A31:C39,2,FALSE)</f>
        <v>Работник - 3-та категория. Осигурен за всички случаи</v>
      </c>
      <c r="C6" s="458"/>
      <c r="D6" s="458"/>
      <c r="E6" s="458"/>
      <c r="F6" s="458"/>
      <c r="G6" s="458"/>
      <c r="H6" s="458"/>
      <c r="J6" s="170"/>
      <c r="L6" s="458" t="str">
        <f>B6</f>
        <v>Работник - 3-та категория. Осигурен за всички случаи</v>
      </c>
      <c r="M6" s="458"/>
      <c r="N6" s="458"/>
      <c r="O6" s="458"/>
      <c r="P6" s="458"/>
      <c r="Q6" s="458"/>
      <c r="R6" s="458"/>
    </row>
    <row r="7" spans="1:18" ht="12.75" customHeight="1" x14ac:dyDescent="0.2">
      <c r="B7" s="42"/>
      <c r="C7" s="42"/>
      <c r="D7" s="42"/>
      <c r="E7" s="42"/>
      <c r="F7" s="42"/>
      <c r="G7" s="42"/>
      <c r="H7" s="42"/>
      <c r="J7" s="170"/>
      <c r="L7" s="42"/>
      <c r="M7" s="42"/>
      <c r="N7" s="42"/>
      <c r="O7" s="42"/>
      <c r="P7" s="42"/>
      <c r="Q7" s="42"/>
      <c r="R7" s="42"/>
    </row>
    <row r="8" spans="1:18" ht="12.75" customHeight="1" x14ac:dyDescent="0.2">
      <c r="B8" s="45" t="s">
        <v>58</v>
      </c>
      <c r="C8" s="459" t="str">
        <f>РПВ!AN2</f>
        <v>януари</v>
      </c>
      <c r="D8" s="459"/>
      <c r="E8" s="459" t="str">
        <f>РПВ!AO2</f>
        <v>2014</v>
      </c>
      <c r="F8" s="459"/>
      <c r="G8" s="45" t="str">
        <f>CONCATENATE(РПВ!AF2," ",rabdni)</f>
        <v>работни дни: 22</v>
      </c>
      <c r="H8" s="45"/>
      <c r="J8" s="170"/>
      <c r="L8" s="45" t="str">
        <f>B8</f>
        <v>Възнаграждение за месец</v>
      </c>
      <c r="M8" s="459" t="str">
        <f>C8</f>
        <v>януари</v>
      </c>
      <c r="N8" s="459"/>
      <c r="O8" s="459" t="str">
        <f>E8</f>
        <v>2014</v>
      </c>
      <c r="P8" s="459"/>
      <c r="Q8" s="45" t="str">
        <f>G8</f>
        <v>работни дни: 22</v>
      </c>
      <c r="R8" s="45"/>
    </row>
    <row r="9" spans="1:18" ht="12.75" customHeight="1" x14ac:dyDescent="0.2">
      <c r="B9" s="47"/>
      <c r="C9" s="47"/>
      <c r="D9" s="47"/>
      <c r="J9" s="170"/>
      <c r="L9" s="47"/>
      <c r="M9" s="47"/>
      <c r="N9" s="47"/>
    </row>
    <row r="10" spans="1:18" ht="12.75" customHeight="1" x14ac:dyDescent="0.2">
      <c r="B10" s="463" t="str">
        <f>CONCATENATE(print,"       |         spumpala@abv.bg")</f>
        <v>вер.2014,08      TROX     http://www.trox-bg.com       |         spumpala@abv.bg</v>
      </c>
      <c r="C10" s="463"/>
      <c r="D10" s="463"/>
      <c r="E10" s="463"/>
      <c r="F10" s="463"/>
      <c r="G10" s="463"/>
      <c r="H10" s="463"/>
      <c r="J10" s="170"/>
      <c r="L10" s="463" t="str">
        <f>B10</f>
        <v>вер.2014,08      TROX     http://www.trox-bg.com       |         spumpala@abv.bg</v>
      </c>
      <c r="M10" s="463"/>
      <c r="N10" s="463"/>
      <c r="O10" s="463"/>
      <c r="P10" s="463"/>
      <c r="Q10" s="463"/>
      <c r="R10" s="463"/>
    </row>
    <row r="11" spans="1:18" ht="12.75" customHeight="1" x14ac:dyDescent="0.2">
      <c r="B11" s="43"/>
      <c r="C11" s="43"/>
      <c r="D11" s="43"/>
      <c r="E11" s="43"/>
      <c r="F11" s="43"/>
      <c r="G11" s="43"/>
      <c r="H11" s="43"/>
      <c r="J11" s="170"/>
      <c r="L11" s="43"/>
      <c r="M11" s="43"/>
      <c r="N11" s="43"/>
      <c r="O11" s="43"/>
      <c r="P11" s="43"/>
      <c r="Q11" s="43"/>
      <c r="R11" s="43"/>
    </row>
    <row r="12" spans="1:18" ht="12.75" customHeight="1" x14ac:dyDescent="0.2">
      <c r="B12" s="166" t="s">
        <v>345</v>
      </c>
      <c r="C12" s="469">
        <f>VLOOKUP($A$1,РПВ!$A$8:$AT$10,7,FALSE)</f>
        <v>0</v>
      </c>
      <c r="D12" s="469"/>
      <c r="E12" s="469"/>
      <c r="F12" s="470" t="s">
        <v>344</v>
      </c>
      <c r="G12" s="471"/>
      <c r="H12" s="172">
        <f>VLOOKUP($A$1,РПВ!$A$8:$AT$10,17,FALSE)</f>
        <v>0</v>
      </c>
      <c r="J12" s="170"/>
      <c r="L12" s="53" t="str">
        <f>B12</f>
        <v>Трудов стаж години/месеци/дни</v>
      </c>
      <c r="M12" s="469">
        <f>C12</f>
        <v>0</v>
      </c>
      <c r="N12" s="469"/>
      <c r="O12" s="469"/>
      <c r="P12" s="470" t="str">
        <f>F12</f>
        <v>% за труд.възнагр. за стаж</v>
      </c>
      <c r="Q12" s="471"/>
      <c r="R12" s="172">
        <f>H12</f>
        <v>0</v>
      </c>
    </row>
    <row r="13" spans="1:18" ht="12.75" customHeight="1" x14ac:dyDescent="0.2">
      <c r="B13" s="53" t="s">
        <v>1</v>
      </c>
      <c r="C13" s="461">
        <f>VLOOKUP($A$1,РПВ!$A$8:$AT$10,5,FALSE)</f>
        <v>0</v>
      </c>
      <c r="D13" s="461"/>
      <c r="E13" s="461"/>
      <c r="F13" s="461"/>
      <c r="G13" s="53"/>
      <c r="H13" s="54"/>
      <c r="J13" s="170"/>
      <c r="L13" s="53" t="str">
        <f>B13</f>
        <v>Длъжност</v>
      </c>
      <c r="M13" s="461">
        <f>C13</f>
        <v>0</v>
      </c>
      <c r="N13" s="461"/>
      <c r="O13" s="461"/>
      <c r="P13" s="461"/>
      <c r="Q13" s="53"/>
      <c r="R13" s="54"/>
    </row>
    <row r="14" spans="1:18" ht="12.75" customHeight="1" x14ac:dyDescent="0.2">
      <c r="B14" s="166" t="s">
        <v>308</v>
      </c>
      <c r="C14" s="55"/>
      <c r="D14" s="56">
        <f>VLOOKUP($A$1,РПВ!$A$8:$AT$10,9,FALSE)</f>
        <v>0</v>
      </c>
      <c r="E14" s="57"/>
      <c r="F14" s="460" t="s">
        <v>30</v>
      </c>
      <c r="G14" s="460"/>
      <c r="H14" s="58">
        <f>VLOOKUP($A$1,РПВ!$A$8:$BT$10,27,FALSE)</f>
        <v>0</v>
      </c>
      <c r="J14" s="170"/>
      <c r="L14" s="53" t="str">
        <f>B14</f>
        <v>Основна работна заплата</v>
      </c>
      <c r="M14" s="55"/>
      <c r="N14" s="56">
        <f>D14</f>
        <v>0</v>
      </c>
      <c r="O14" s="57"/>
      <c r="P14" s="460" t="str">
        <f>F14</f>
        <v>Осигурителен доход</v>
      </c>
      <c r="Q14" s="460"/>
      <c r="R14" s="58">
        <f>H14</f>
        <v>0</v>
      </c>
    </row>
    <row r="15" spans="1:18" ht="12.75" customHeight="1" x14ac:dyDescent="0.2">
      <c r="B15" s="53" t="s">
        <v>52</v>
      </c>
      <c r="C15" s="55"/>
      <c r="D15" s="59">
        <f>VLOOKUP($A$1,РПВ!$A$8:$AT$10,10,FALSE)</f>
        <v>0</v>
      </c>
      <c r="E15" s="57"/>
      <c r="F15" s="471" t="s">
        <v>176</v>
      </c>
      <c r="G15" s="471"/>
      <c r="H15" s="58">
        <f>VLOOKUP($A$1,РПВ!$A$8:$AT$10,36,FALSE)</f>
        <v>0</v>
      </c>
      <c r="J15" s="170"/>
      <c r="L15" s="53" t="str">
        <f>B15</f>
        <v>Отработени дни за месеца</v>
      </c>
      <c r="M15" s="55"/>
      <c r="N15" s="59">
        <f>D15</f>
        <v>0</v>
      </c>
      <c r="O15" s="57"/>
      <c r="P15" s="460" t="str">
        <f>F15</f>
        <v>Данъчна основа</v>
      </c>
      <c r="Q15" s="460"/>
      <c r="R15" s="58">
        <f>H15</f>
        <v>0</v>
      </c>
    </row>
    <row r="16" spans="1:18" ht="12.75" customHeight="1" x14ac:dyDescent="0.2">
      <c r="B16" s="53" t="s">
        <v>59</v>
      </c>
      <c r="D16" s="60">
        <f>VLOOKUP($A$1,РПВ!$A$8:$AT$10,11,FALSE)</f>
        <v>0</v>
      </c>
      <c r="E16" s="63"/>
      <c r="F16" s="472" t="s">
        <v>124</v>
      </c>
      <c r="G16" s="472"/>
      <c r="H16" s="58">
        <f>VLOOKUP($A$1,РПВ!$A$8:$AT$10,8,FALSE)</f>
        <v>0</v>
      </c>
      <c r="J16" s="170"/>
      <c r="L16" s="53" t="str">
        <f>B16</f>
        <v>Дневно работно време /часове/</v>
      </c>
      <c r="N16" s="60">
        <f>D16</f>
        <v>0</v>
      </c>
      <c r="O16" s="63"/>
      <c r="P16" s="460" t="str">
        <f>F16</f>
        <v>Минимален осиг. доход</v>
      </c>
      <c r="Q16" s="460"/>
      <c r="R16" s="58">
        <f>H16</f>
        <v>0</v>
      </c>
    </row>
    <row r="17" spans="2:18" ht="12.75" customHeight="1" thickBot="1" x14ac:dyDescent="0.25">
      <c r="B17" s="53"/>
      <c r="C17" s="64"/>
      <c r="D17" s="63"/>
      <c r="E17" s="63"/>
      <c r="F17" s="63"/>
      <c r="G17" s="55"/>
      <c r="H17" s="55"/>
      <c r="J17" s="170"/>
      <c r="L17" s="53"/>
      <c r="M17" s="64"/>
      <c r="N17" s="63"/>
      <c r="O17" s="63"/>
      <c r="P17" s="63"/>
      <c r="Q17" s="55"/>
      <c r="R17" s="55"/>
    </row>
    <row r="18" spans="2:18" ht="12.75" customHeight="1" x14ac:dyDescent="0.2">
      <c r="B18" s="65" t="s">
        <v>31</v>
      </c>
      <c r="C18" s="66" t="s">
        <v>37</v>
      </c>
      <c r="D18" s="65"/>
      <c r="E18" s="65"/>
      <c r="F18" s="65"/>
      <c r="G18" s="65" t="s">
        <v>32</v>
      </c>
      <c r="H18" s="65"/>
      <c r="J18" s="170"/>
      <c r="L18" s="65" t="str">
        <f>B18</f>
        <v>НАЧИСЛЕНИЯ</v>
      </c>
      <c r="M18" s="66" t="str">
        <f>C18</f>
        <v>дни</v>
      </c>
      <c r="N18" s="65"/>
      <c r="O18" s="65"/>
      <c r="P18" s="65"/>
      <c r="Q18" s="65" t="str">
        <f>G18</f>
        <v>УДРЪЖКИ</v>
      </c>
      <c r="R18" s="65"/>
    </row>
    <row r="19" spans="2:18" ht="12.75" customHeight="1" x14ac:dyDescent="0.2">
      <c r="B19" s="55"/>
      <c r="C19" s="39"/>
      <c r="D19" s="67"/>
      <c r="E19" s="55"/>
      <c r="F19" s="55"/>
      <c r="G19" s="55"/>
      <c r="H19" s="55"/>
      <c r="J19" s="170"/>
      <c r="L19" s="55"/>
      <c r="M19" s="39"/>
      <c r="N19" s="67"/>
      <c r="O19" s="55"/>
      <c r="P19" s="55"/>
      <c r="Q19" s="55"/>
      <c r="R19" s="55"/>
    </row>
    <row r="20" spans="2:18" ht="12.75" customHeight="1" x14ac:dyDescent="0.2">
      <c r="B20" s="11" t="s">
        <v>36</v>
      </c>
      <c r="C20" s="68">
        <f>VLOOKUP($A$1,РПВ!$A$8:$AT$10,10,FALSE)</f>
        <v>0</v>
      </c>
      <c r="D20" s="58">
        <f>IF(OR(H5=2,H5=3,H5=4),0,VLOOKUP($A$1,РПВ!$A$8:$AT$10,12,FALSE))</f>
        <v>0</v>
      </c>
      <c r="E20" s="55"/>
      <c r="F20" s="457" t="str">
        <f>CONCATENATE("Фондове ДОО / ",
IF(OR(H5=1,H5=6,H5=7,H5=8),
IF(F5&lt;=1959,Систем!D6*100,Систем!E6*100),
IF(H5=2,
IF(F5&lt;=1959,Систем!F6*100,Систем!G6*100),
IF(H5=3,
IF(F5&lt;=1959,Систем!H6*100,Систем!I6*100),
IF(H5=5,
IF(F5&lt;=1959,Систем!L6*100,Систем!M6*100),
IF(H5=9,
IF(F5&lt;=1959,Систем!N6*100,Систем!O7*100),
0)))))," %")</f>
        <v>Фондове ДОО / 9.7 %</v>
      </c>
      <c r="G20" s="457"/>
      <c r="H20" s="58">
        <f>VLOOKUP($A$1,РПВ!$A$8:$AT$10,28,FALSE)</f>
        <v>0</v>
      </c>
      <c r="J20" s="170"/>
      <c r="L20" s="11" t="str">
        <f>B20</f>
        <v>Възнаграждение за отр.дни</v>
      </c>
      <c r="M20" s="68">
        <f>C20</f>
        <v>0</v>
      </c>
      <c r="N20" s="58">
        <f>D20</f>
        <v>0</v>
      </c>
      <c r="O20" s="55"/>
      <c r="P20" s="457" t="str">
        <f t="shared" ref="P20:P29" si="0">F20</f>
        <v>Фондове ДОО / 9.7 %</v>
      </c>
      <c r="Q20" s="457"/>
      <c r="R20" s="58">
        <f>H20</f>
        <v>0</v>
      </c>
    </row>
    <row r="21" spans="2:18" ht="12.75" customHeight="1" x14ac:dyDescent="0.2">
      <c r="B21" s="69" t="s">
        <v>63</v>
      </c>
      <c r="C21" s="68">
        <f>VLOOKUP($A$1,РПВ!$A$8:$AT$10,14,FALSE)</f>
        <v>0</v>
      </c>
      <c r="D21" s="58">
        <f>VLOOKUP($A$1,РПВ!$A$8:$AT$10,15,FALSE)</f>
        <v>0</v>
      </c>
      <c r="E21" s="55"/>
      <c r="F21" s="457" t="s">
        <v>551</v>
      </c>
      <c r="G21" s="457"/>
      <c r="H21" s="58">
        <f>VLOOKUP($A$1,РПВ!$A$8:$AT$10,29,FALSE)</f>
        <v>0</v>
      </c>
      <c r="J21" s="170"/>
      <c r="L21" s="11" t="str">
        <f t="shared" ref="L21:L30" si="1">B21</f>
        <v>Платен отпуск</v>
      </c>
      <c r="M21" s="68">
        <f t="shared" ref="M21:M30" si="2">C21</f>
        <v>0</v>
      </c>
      <c r="N21" s="58">
        <f t="shared" ref="N21:N27" si="3">D21</f>
        <v>0</v>
      </c>
      <c r="O21" s="55"/>
      <c r="P21" s="457" t="str">
        <f t="shared" si="0"/>
        <v>Фонд Пенсии в/у соц. разходи</v>
      </c>
      <c r="Q21" s="457"/>
      <c r="R21" s="58">
        <f t="shared" ref="R21:R29" si="4">H21</f>
        <v>0</v>
      </c>
    </row>
    <row r="22" spans="2:18" ht="12.75" customHeight="1" x14ac:dyDescent="0.2">
      <c r="B22" s="69" t="s">
        <v>64</v>
      </c>
      <c r="C22" s="61" t="s">
        <v>28</v>
      </c>
      <c r="D22" s="58">
        <f>VLOOKUP($A$1,РПВ!$A$8:$AT$10,16,FALSE)</f>
        <v>0</v>
      </c>
      <c r="E22" s="55"/>
      <c r="F22" s="457" t="str">
        <f>CONCATENATE("ДЗПО - УПФ / ",IF(F5&gt;1959,IF(OR(H5=1,H5=5,H5=6,H5=7,H5=8,H5=9),Систем!E9*100,IF(H5=2,Систем!G9*100,IF(H5=3,Систем!I9*100,IF(H5=4,Систем!K9,0)))),0)," %")</f>
        <v>ДЗПО - УПФ / 0 %</v>
      </c>
      <c r="G22" s="457"/>
      <c r="H22" s="58">
        <f>VLOOKUP($A$1,РПВ!$A$8:$AT$10,33,FALSE)</f>
        <v>0</v>
      </c>
      <c r="J22" s="170"/>
      <c r="L22" s="11" t="str">
        <f t="shared" si="1"/>
        <v>Социални разходи</v>
      </c>
      <c r="M22" s="68" t="str">
        <f t="shared" si="2"/>
        <v>-</v>
      </c>
      <c r="N22" s="58">
        <f t="shared" si="3"/>
        <v>0</v>
      </c>
      <c r="O22" s="55"/>
      <c r="P22" s="457" t="str">
        <f>F22</f>
        <v>ДЗПО - УПФ / 0 %</v>
      </c>
      <c r="Q22" s="457"/>
      <c r="R22" s="58">
        <f>H22</f>
        <v>0</v>
      </c>
    </row>
    <row r="23" spans="2:18" ht="12.75" customHeight="1" x14ac:dyDescent="0.2">
      <c r="B23" s="167" t="s">
        <v>309</v>
      </c>
      <c r="C23" s="171" t="s">
        <v>28</v>
      </c>
      <c r="D23" s="58">
        <f>VLOOKUP($A$1,РПВ!$A$8:$AT$10,18,FALSE)</f>
        <v>0</v>
      </c>
      <c r="E23" s="55"/>
      <c r="F23" s="457" t="str">
        <f>CONCATENATE("Здравно осиг. вноска / ",IF(OR(H5=1,H5=5,H5=6,H5=7,H5=8),Систем!E11*100,IF(H5=2,Систем!G11*100,IF(H5=3,Систем!I11*100,IF(H5=4,Систем!K11*100,IF(H5=9,Систем!O11,0)))))," %")</f>
        <v>Здравно осиг. вноска / 3.2 %</v>
      </c>
      <c r="G23" s="457"/>
      <c r="H23" s="58">
        <f>VLOOKUP($A$1,РПВ!$A$8:$AT$10,32,FALSE)-H24</f>
        <v>0</v>
      </c>
      <c r="J23" s="170"/>
      <c r="L23" s="11" t="str">
        <f t="shared" si="1"/>
        <v>Трудово възнагражд. за стаж</v>
      </c>
      <c r="M23" s="171" t="str">
        <f>C23</f>
        <v>-</v>
      </c>
      <c r="N23" s="58">
        <f t="shared" si="3"/>
        <v>0</v>
      </c>
      <c r="O23" s="55"/>
      <c r="P23" s="457" t="str">
        <f>F23</f>
        <v>Здравно осиг. вноска / 3.2 %</v>
      </c>
      <c r="Q23" s="457"/>
      <c r="R23" s="58">
        <f>H23</f>
        <v>0</v>
      </c>
    </row>
    <row r="24" spans="2:18" ht="12.75" customHeight="1" x14ac:dyDescent="0.2">
      <c r="B24" s="11" t="s">
        <v>179</v>
      </c>
      <c r="C24" s="70">
        <f>VLOOKUP($A$1,РПВ!$A$8:$AT$10,19,FALSE)</f>
        <v>0</v>
      </c>
      <c r="D24" s="58">
        <f>VLOOKUP($A$1,РПВ!$A$8:$AT$10,20,FALSE)</f>
        <v>0</v>
      </c>
      <c r="E24" s="55"/>
      <c r="F24" s="164">
        <f>VLOOKUP($A$1,РПВ!$A$8:$AT$10,13,FALSE)</f>
        <v>0</v>
      </c>
      <c r="G24" s="163" t="s">
        <v>306</v>
      </c>
      <c r="H24" s="58">
        <f>IF(VLOOKUP($A$1,РПВ!$A$8:$BA$10,48,FALSE)&lt;&gt;0,ROUND(Систем!D14/2/rabdni*F24*Систем!D11*10/4,2),0)</f>
        <v>0</v>
      </c>
      <c r="J24" s="170"/>
      <c r="L24" s="11" t="str">
        <f t="shared" si="1"/>
        <v>Трудово възнагражд. за болнични</v>
      </c>
      <c r="M24" s="68">
        <f t="shared" si="2"/>
        <v>0</v>
      </c>
      <c r="N24" s="58">
        <f t="shared" si="3"/>
        <v>0</v>
      </c>
      <c r="O24" s="55"/>
      <c r="P24" s="164">
        <f>F24</f>
        <v>0</v>
      </c>
      <c r="Q24" s="163" t="str">
        <f>G24</f>
        <v>Неплатен отпуск</v>
      </c>
      <c r="R24" s="58">
        <f>H24</f>
        <v>0</v>
      </c>
    </row>
    <row r="25" spans="2:18" ht="12.75" customHeight="1" x14ac:dyDescent="0.2">
      <c r="B25" s="55" t="s">
        <v>61</v>
      </c>
      <c r="C25" s="70">
        <f>VLOOKUP($A$1,РПВ!$A$8:$AT$10,23,FALSE)</f>
        <v>0</v>
      </c>
      <c r="D25" s="84" t="s">
        <v>28</v>
      </c>
      <c r="E25" s="55"/>
      <c r="F25" s="457" t="str">
        <f>CONCATENATE("ДОД по чл. 42 ЗДДФЛ")</f>
        <v>ДОД по чл. 42 ЗДДФЛ</v>
      </c>
      <c r="G25" s="457"/>
      <c r="H25" s="58">
        <f>VLOOKUP($A$1,РПВ!$A$8:$AT$10,37,FALSE)</f>
        <v>0</v>
      </c>
      <c r="J25" s="170"/>
      <c r="L25" s="11" t="str">
        <f t="shared" si="1"/>
        <v>Болнични и бременност</v>
      </c>
      <c r="M25" s="68">
        <f t="shared" si="2"/>
        <v>0</v>
      </c>
      <c r="N25" s="58" t="str">
        <f t="shared" si="3"/>
        <v>-</v>
      </c>
      <c r="O25" s="55"/>
      <c r="P25" s="457" t="str">
        <f>F25</f>
        <v>ДОД по чл. 42 ЗДДФЛ</v>
      </c>
      <c r="Q25" s="457"/>
      <c r="R25" s="58">
        <f>H25</f>
        <v>0</v>
      </c>
    </row>
    <row r="26" spans="2:18" ht="12.75" customHeight="1" x14ac:dyDescent="0.2">
      <c r="B26" s="55" t="s">
        <v>62</v>
      </c>
      <c r="C26" s="70">
        <f>VLOOKUP($A$1,РПВ!$A$8:$AT$10,24,FALSE)</f>
        <v>0</v>
      </c>
      <c r="D26" s="229" t="s">
        <v>28</v>
      </c>
      <c r="E26" s="55"/>
      <c r="F26" s="336" t="s">
        <v>341</v>
      </c>
      <c r="G26" s="336"/>
      <c r="H26" s="337">
        <f>VLOOKUP($A$1,РПВ!$A$8:$AT$10,34,FALSE)</f>
        <v>0</v>
      </c>
      <c r="J26" s="170"/>
      <c r="L26" s="11" t="str">
        <f t="shared" si="1"/>
        <v>Отглеждане на дете до 2 год.</v>
      </c>
      <c r="M26" s="68">
        <f t="shared" si="2"/>
        <v>0</v>
      </c>
      <c r="N26" s="58" t="str">
        <f t="shared" si="3"/>
        <v>-</v>
      </c>
      <c r="O26" s="55"/>
      <c r="P26" s="336" t="str">
        <f>F26</f>
        <v>Данъчни облекчения</v>
      </c>
      <c r="Q26" s="336"/>
      <c r="R26" s="337">
        <f>H26</f>
        <v>0</v>
      </c>
    </row>
    <row r="27" spans="2:18" ht="12.75" customHeight="1" x14ac:dyDescent="0.2">
      <c r="B27" s="55" t="s">
        <v>65</v>
      </c>
      <c r="C27" s="43" t="s">
        <v>28</v>
      </c>
      <c r="D27" s="58">
        <f>VLOOKUP($A$1,РПВ!$A$8:$AT$10,21,FALSE)</f>
        <v>0</v>
      </c>
      <c r="E27" s="55"/>
      <c r="J27" s="170"/>
      <c r="L27" s="11" t="str">
        <f t="shared" si="1"/>
        <v>Други възнаграждения облагаеми</v>
      </c>
      <c r="M27" s="68" t="str">
        <f t="shared" si="2"/>
        <v>-</v>
      </c>
      <c r="N27" s="58">
        <f t="shared" si="3"/>
        <v>0</v>
      </c>
      <c r="O27" s="55"/>
    </row>
    <row r="28" spans="2:18" ht="12.75" customHeight="1" x14ac:dyDescent="0.2">
      <c r="B28" s="71"/>
      <c r="C28" s="72" t="str">
        <f>IF(D27&lt;&gt;0,IF(B28&lt;&gt;"","","&lt;- Уточнете какви на двата реда"),"")</f>
        <v/>
      </c>
      <c r="D28" s="73"/>
      <c r="E28" s="55"/>
      <c r="F28" s="457" t="s">
        <v>33</v>
      </c>
      <c r="G28" s="457"/>
      <c r="H28" s="58">
        <f>VLOOKUP($A$1,РПВ!$A$8:$AT$10,41,FALSE)</f>
        <v>0</v>
      </c>
      <c r="J28" s="170"/>
      <c r="L28" s="11" t="str">
        <f>IF(B28="","",B28)</f>
        <v/>
      </c>
      <c r="M28" s="68"/>
      <c r="N28" s="58" t="str">
        <f>IF(D28="","",D28)</f>
        <v/>
      </c>
      <c r="O28" s="55"/>
      <c r="P28" s="457" t="str">
        <f t="shared" si="0"/>
        <v>Месечен аванс</v>
      </c>
      <c r="Q28" s="457"/>
      <c r="R28" s="58">
        <f t="shared" si="4"/>
        <v>0</v>
      </c>
    </row>
    <row r="29" spans="2:18" ht="12.75" customHeight="1" x14ac:dyDescent="0.2">
      <c r="B29" s="74"/>
      <c r="C29" s="72" t="str">
        <f>IF(D27&lt;&gt;0,IF(B28&lt;&gt;"","","&lt;- Уточнете какви на двата реда"),"")</f>
        <v/>
      </c>
      <c r="D29" s="75"/>
      <c r="E29" s="55"/>
      <c r="F29" s="466" t="s">
        <v>3</v>
      </c>
      <c r="G29" s="466"/>
      <c r="H29" s="58">
        <f>VLOOKUP($A$1,РПВ!$A$8:$AT$10,38,FALSE)</f>
        <v>0</v>
      </c>
      <c r="I29" s="55"/>
      <c r="J29" s="170"/>
      <c r="L29" s="11" t="str">
        <f>IF(B29="","",B29)</f>
        <v/>
      </c>
      <c r="M29" s="68"/>
      <c r="N29" s="58" t="str">
        <f>IF(D29="","",D29)</f>
        <v/>
      </c>
      <c r="O29" s="55"/>
      <c r="P29" s="457" t="str">
        <f t="shared" si="0"/>
        <v>Доброволни удръжки</v>
      </c>
      <c r="Q29" s="457"/>
      <c r="R29" s="58">
        <f t="shared" si="4"/>
        <v>0</v>
      </c>
    </row>
    <row r="30" spans="2:18" ht="12.75" customHeight="1" x14ac:dyDescent="0.2">
      <c r="B30" s="55" t="s">
        <v>66</v>
      </c>
      <c r="C30" s="43" t="s">
        <v>28</v>
      </c>
      <c r="D30" s="58">
        <f>VLOOKUP($A$1,РПВ!$A$8:$AT$10,25,FALSE)</f>
        <v>0</v>
      </c>
      <c r="E30" s="55"/>
      <c r="F30" s="23"/>
      <c r="G30" s="11" t="str">
        <f>IF(H29&lt;&gt;0,IF(F30&lt;&gt;"","","&lt;- Уточнете какви на двата реда"),"")</f>
        <v/>
      </c>
      <c r="H30" s="62"/>
      <c r="J30" s="170"/>
      <c r="L30" s="11" t="str">
        <f t="shared" si="1"/>
        <v>Други необлагаеми</v>
      </c>
      <c r="M30" s="68" t="str">
        <f t="shared" si="2"/>
        <v>-</v>
      </c>
      <c r="N30" s="58">
        <f>D30</f>
        <v>0</v>
      </c>
      <c r="O30" s="55"/>
      <c r="P30" s="23" t="str">
        <f>IF(F30="","",F30)</f>
        <v/>
      </c>
      <c r="R30" s="58" t="str">
        <f>IF(H30="","",H30)</f>
        <v/>
      </c>
    </row>
    <row r="31" spans="2:18" ht="12.75" customHeight="1" x14ac:dyDescent="0.2">
      <c r="B31" s="23"/>
      <c r="C31" s="72" t="str">
        <f>IF(D30&lt;&gt;0,IF(B31&lt;&gt;"","","Уточнете какви на двата реда"),"")</f>
        <v/>
      </c>
      <c r="D31" s="62"/>
      <c r="E31" s="55"/>
      <c r="F31" s="76"/>
      <c r="G31" s="55" t="str">
        <f>IF(H29&lt;&gt;0,IF(F30&lt;&gt;"","","&lt;- Уточнете какви на двата реда"),"")</f>
        <v/>
      </c>
      <c r="H31" s="77"/>
      <c r="J31" s="170"/>
      <c r="L31" s="11" t="str">
        <f>IF(B31="","",B31)</f>
        <v/>
      </c>
      <c r="M31" s="72"/>
      <c r="N31" s="58" t="str">
        <f>IF(D31="","",D31)</f>
        <v/>
      </c>
      <c r="O31" s="55"/>
      <c r="P31" s="23" t="str">
        <f>IF(F31="","",F31)</f>
        <v/>
      </c>
      <c r="Q31" s="55"/>
      <c r="R31" s="58" t="str">
        <f>IF(H31="","",H31)</f>
        <v/>
      </c>
    </row>
    <row r="32" spans="2:18" ht="12.75" customHeight="1" x14ac:dyDescent="0.2">
      <c r="B32" s="74"/>
      <c r="C32" s="72" t="str">
        <f>IF(D30&lt;&gt;0,IF(B31&lt;&gt;"","","Уточнете какви на двата реда"),"")</f>
        <v/>
      </c>
      <c r="D32" s="73"/>
      <c r="E32" s="55"/>
      <c r="F32" s="467" t="str">
        <f>IF(VLOOKUP($A$1,РПВ!$A$8:$BA$10,49,FALSE)="да",CONCATENATE("Безкасово изплатена сума "),"")</f>
        <v/>
      </c>
      <c r="G32" s="467"/>
      <c r="H32" s="58" t="str">
        <f>IF(VLOOKUP($A$1,РПВ!$A$8:$BA$10,50,FALSE)=0,"",VLOOKUP($A$1,РПВ!$A$8:$BA$10,50,FALSE))</f>
        <v/>
      </c>
      <c r="J32" s="170"/>
      <c r="L32" s="11" t="str">
        <f>IF(B32="","",B32)</f>
        <v/>
      </c>
      <c r="M32" s="72"/>
      <c r="N32" s="58" t="str">
        <f>IF(D32="","",D32)</f>
        <v/>
      </c>
      <c r="O32" s="55"/>
      <c r="P32" s="467" t="str">
        <f>F32</f>
        <v/>
      </c>
      <c r="Q32" s="467"/>
      <c r="R32" s="58" t="str">
        <f>H32</f>
        <v/>
      </c>
    </row>
    <row r="33" spans="2:18" ht="12.75" customHeight="1" x14ac:dyDescent="0.2">
      <c r="B33" s="168" t="s">
        <v>516</v>
      </c>
      <c r="D33" s="83">
        <f>VLOOKUP($A$1,РПВ!$A$8:$AT$10,35,FALSE)</f>
        <v>0</v>
      </c>
      <c r="F33" s="465" t="str">
        <f>IF(VLOOKUP($A$1,РПВ!$A$8:$BA$10,49,FALSE)="да",CONCATENATE("преведена по с/ка ",VLOOKUP($A$1,РПВ!$A$8:$BA$10,51,FALSE)),"")</f>
        <v/>
      </c>
      <c r="G33" s="465"/>
      <c r="H33" s="465"/>
      <c r="J33" s="170"/>
      <c r="L33" s="11" t="str">
        <f>B33</f>
        <v>Суми, в/у които се дължи ДОД</v>
      </c>
      <c r="N33" s="58">
        <f>D33</f>
        <v>0</v>
      </c>
      <c r="P33" s="465" t="str">
        <f>F33</f>
        <v/>
      </c>
      <c r="Q33" s="465"/>
      <c r="R33" s="465"/>
    </row>
    <row r="34" spans="2:18" ht="12.75" customHeight="1" thickBot="1" x14ac:dyDescent="0.25">
      <c r="B34" s="168"/>
      <c r="D34" s="83"/>
      <c r="F34" s="465" t="str">
        <f>IF(VLOOKUP($A$1,РПВ!$A$8:$BA$10,52,FALSE)="","",CONCATENATE("в банка ",VLOOKUP($A$1,РПВ!$A$8:$BA$10,52,FALSE)," с код ",VLOOKUP($A$1,РПВ!$A$8:$BA$10,53,FALSE),))</f>
        <v/>
      </c>
      <c r="G34" s="465"/>
      <c r="H34" s="465"/>
      <c r="J34" s="170"/>
      <c r="N34" s="58"/>
      <c r="P34" s="465" t="str">
        <f>F34</f>
        <v/>
      </c>
      <c r="Q34" s="465"/>
      <c r="R34" s="465"/>
    </row>
    <row r="35" spans="2:18" ht="12.75" hidden="1" customHeight="1" x14ac:dyDescent="0.2">
      <c r="J35" s="170"/>
    </row>
    <row r="36" spans="2:18" ht="12.75" customHeight="1" thickBot="1" x14ac:dyDescent="0.25">
      <c r="B36" s="338" t="s">
        <v>34</v>
      </c>
      <c r="C36" s="338"/>
      <c r="D36" s="339">
        <f>SUM(D20:D27)+D30+D33</f>
        <v>0</v>
      </c>
      <c r="E36" s="338"/>
      <c r="F36" s="338"/>
      <c r="G36" s="338" t="s">
        <v>35</v>
      </c>
      <c r="H36" s="339">
        <f>IF(H32="",SUM(H20:H29)-H26,SUM(H20:H29)-H26+H32)</f>
        <v>0</v>
      </c>
      <c r="J36" s="170"/>
      <c r="L36" s="338" t="str">
        <f>B36</f>
        <v>Всичко начисления</v>
      </c>
      <c r="M36" s="338"/>
      <c r="N36" s="339">
        <f>D36</f>
        <v>0</v>
      </c>
      <c r="O36" s="338"/>
      <c r="P36" s="338"/>
      <c r="Q36" s="338" t="str">
        <f>G36</f>
        <v>Всичко удръжки</v>
      </c>
      <c r="R36" s="339">
        <f>H36</f>
        <v>0</v>
      </c>
    </row>
    <row r="37" spans="2:18" ht="12.75" customHeight="1" x14ac:dyDescent="0.2">
      <c r="B37" s="65"/>
      <c r="C37" s="65"/>
      <c r="D37" s="65"/>
      <c r="E37" s="65"/>
      <c r="F37" s="65"/>
      <c r="G37" s="65"/>
      <c r="H37" s="65"/>
      <c r="J37" s="170"/>
      <c r="L37" s="65"/>
      <c r="M37" s="65"/>
      <c r="N37" s="65"/>
      <c r="O37" s="65"/>
      <c r="P37" s="65"/>
      <c r="Q37" s="65"/>
      <c r="R37" s="65"/>
    </row>
    <row r="38" spans="2:18" ht="12.75" customHeight="1" thickBot="1" x14ac:dyDescent="0.25">
      <c r="B38" s="340" t="s">
        <v>552</v>
      </c>
      <c r="C38" s="78"/>
      <c r="D38" s="79">
        <f>D36-H36</f>
        <v>0</v>
      </c>
      <c r="E38" s="78"/>
      <c r="F38" s="78"/>
      <c r="G38" s="468" t="s">
        <v>74</v>
      </c>
      <c r="H38" s="468"/>
      <c r="J38" s="170"/>
      <c r="L38" s="78" t="str">
        <f>B38</f>
        <v>Изплатени в брой</v>
      </c>
      <c r="M38" s="78"/>
      <c r="N38" s="79">
        <f>D38</f>
        <v>0</v>
      </c>
      <c r="O38" s="78"/>
      <c r="P38" s="78"/>
      <c r="Q38" s="468" t="str">
        <f>G38</f>
        <v>Подпис                   ……….……….</v>
      </c>
      <c r="R38" s="468"/>
    </row>
    <row r="39" spans="2:18" ht="13.5" customHeight="1" x14ac:dyDescent="0.2">
      <c r="B39" s="55"/>
      <c r="C39" s="55"/>
      <c r="D39" s="58"/>
      <c r="E39" s="55"/>
      <c r="F39" s="55"/>
      <c r="G39" s="41"/>
      <c r="H39" s="41"/>
      <c r="J39" s="170"/>
      <c r="L39" s="55"/>
      <c r="M39" s="55"/>
      <c r="N39" s="58"/>
      <c r="O39" s="55"/>
      <c r="P39" s="55"/>
      <c r="Q39" s="41"/>
      <c r="R39" s="41"/>
    </row>
    <row r="40" spans="2:18" x14ac:dyDescent="0.2">
      <c r="B40" s="463" t="str">
        <f>CONCATENATE(print,"       |         spumpala@abv.bg")</f>
        <v>вер.2014,08      TROX     http://www.trox-bg.com       |         spumpala@abv.bg</v>
      </c>
      <c r="C40" s="463"/>
      <c r="D40" s="463"/>
      <c r="E40" s="463"/>
      <c r="F40" s="463"/>
      <c r="G40" s="463"/>
      <c r="H40" s="463"/>
      <c r="J40" s="170"/>
      <c r="L40" s="463" t="str">
        <f>B40</f>
        <v>вер.2014,08      TROX     http://www.trox-bg.com       |         spumpala@abv.bg</v>
      </c>
      <c r="M40" s="463"/>
      <c r="N40" s="463"/>
      <c r="O40" s="463"/>
      <c r="P40" s="463"/>
      <c r="Q40" s="463"/>
      <c r="R40" s="463"/>
    </row>
  </sheetData>
  <mergeCells count="48">
    <mergeCell ref="F20:G20"/>
    <mergeCell ref="C12:E12"/>
    <mergeCell ref="C8:D8"/>
    <mergeCell ref="F12:G12"/>
    <mergeCell ref="E8:F8"/>
    <mergeCell ref="F14:G14"/>
    <mergeCell ref="F15:G15"/>
    <mergeCell ref="F16:G16"/>
    <mergeCell ref="C13:F13"/>
    <mergeCell ref="F28:G28"/>
    <mergeCell ref="F21:G21"/>
    <mergeCell ref="F25:G25"/>
    <mergeCell ref="F23:G23"/>
    <mergeCell ref="F22:G22"/>
    <mergeCell ref="L3:R3"/>
    <mergeCell ref="L10:R10"/>
    <mergeCell ref="M12:O12"/>
    <mergeCell ref="P12:Q12"/>
    <mergeCell ref="L5:N5"/>
    <mergeCell ref="B3:H3"/>
    <mergeCell ref="B10:H10"/>
    <mergeCell ref="B5:D5"/>
    <mergeCell ref="B6:H6"/>
    <mergeCell ref="L40:R40"/>
    <mergeCell ref="F34:H34"/>
    <mergeCell ref="F29:G29"/>
    <mergeCell ref="B40:H40"/>
    <mergeCell ref="F32:G32"/>
    <mergeCell ref="P34:R34"/>
    <mergeCell ref="P32:Q32"/>
    <mergeCell ref="Q38:R38"/>
    <mergeCell ref="P33:R33"/>
    <mergeCell ref="G38:H38"/>
    <mergeCell ref="F33:H33"/>
    <mergeCell ref="P28:Q28"/>
    <mergeCell ref="P29:Q29"/>
    <mergeCell ref="P23:Q23"/>
    <mergeCell ref="L6:R6"/>
    <mergeCell ref="M8:N8"/>
    <mergeCell ref="O8:P8"/>
    <mergeCell ref="P16:Q16"/>
    <mergeCell ref="P25:Q25"/>
    <mergeCell ref="M13:P13"/>
    <mergeCell ref="P14:Q14"/>
    <mergeCell ref="P20:Q20"/>
    <mergeCell ref="P21:Q21"/>
    <mergeCell ref="P22:Q22"/>
    <mergeCell ref="P15:Q15"/>
  </mergeCells>
  <phoneticPr fontId="7" type="noConversion"/>
  <pageMargins left="0.55118110236220474" right="0.55118110236220474" top="0.98425196850393704" bottom="0.98425196850393704" header="0.51181102362204722" footer="0.51181102362204722"/>
  <pageSetup paperSize="9" orientation="portrait" horizontalDpi="240" verticalDpi="144" r:id="rId1"/>
  <headerFooter alignWithMargins="0">
    <oddHeader>&amp;L&amp;8&amp;B&amp;I Генерирано чрез TROX РПВ вер.2014,08</oddHeader>
    <oddFooter>&amp;R&amp;8&amp;B&amp;I Генерирано чрез TROX РПВ вер.2014,08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Drop Down 1">
              <controlPr defaultSize="0" autoLine="0" autoPict="0">
                <anchor moveWithCells="1">
                  <from>
                    <xdr:col>1</xdr:col>
                    <xdr:colOff>714375</xdr:colOff>
                    <xdr:row>0</xdr:row>
                    <xdr:rowOff>38100</xdr:rowOff>
                  </from>
                  <to>
                    <xdr:col>6</xdr:col>
                    <xdr:colOff>209550</xdr:colOff>
                    <xdr:row>0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7" r:id="rId5" name="Button 15">
              <controlPr defaultSize="0" print="0" autoFill="0" autoPict="0" macro="[0]!PrintFi6_1">
                <anchor moveWithCells="1" sizeWithCells="1">
                  <from>
                    <xdr:col>6</xdr:col>
                    <xdr:colOff>295275</xdr:colOff>
                    <xdr:row>0</xdr:row>
                    <xdr:rowOff>28575</xdr:rowOff>
                  </from>
                  <to>
                    <xdr:col>11</xdr:col>
                    <xdr:colOff>438150</xdr:colOff>
                    <xdr:row>0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8" r:id="rId6" name="Button 16">
              <controlPr defaultSize="0" print="0" autoFill="0" autoPict="0" macro="[0]!PrintFi6_2">
                <anchor moveWithCells="1" sizeWithCells="1">
                  <from>
                    <xdr:col>11</xdr:col>
                    <xdr:colOff>523875</xdr:colOff>
                    <xdr:row>0</xdr:row>
                    <xdr:rowOff>28575</xdr:rowOff>
                  </from>
                  <to>
                    <xdr:col>15</xdr:col>
                    <xdr:colOff>247650</xdr:colOff>
                    <xdr:row>0</xdr:row>
                    <xdr:rowOff>247650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>
    <pageSetUpPr fitToPage="1"/>
  </sheetPr>
  <dimension ref="A1:I79"/>
  <sheetViews>
    <sheetView zoomScaleNormal="100" workbookViewId="0">
      <selection sqref="A1:D1"/>
    </sheetView>
  </sheetViews>
  <sheetFormatPr defaultRowHeight="12.75" x14ac:dyDescent="0.2"/>
  <cols>
    <col min="1" max="1" width="49.140625" style="1" customWidth="1"/>
    <col min="2" max="2" width="10.28515625" style="1" customWidth="1"/>
    <col min="3" max="3" width="12.5703125" style="1" customWidth="1"/>
    <col min="4" max="4" width="11.5703125" style="1" bestFit="1" customWidth="1"/>
    <col min="5" max="5" width="12.7109375" bestFit="1" customWidth="1"/>
    <col min="6" max="7" width="12" hidden="1" customWidth="1"/>
    <col min="8" max="8" width="12" style="9" hidden="1" customWidth="1"/>
    <col min="9" max="9" width="9" style="1" hidden="1" customWidth="1"/>
    <col min="10" max="16384" width="9.140625" style="1"/>
  </cols>
  <sheetData>
    <row r="1" spans="1:9" ht="21.75" customHeight="1" x14ac:dyDescent="0.25">
      <c r="A1" s="473"/>
      <c r="B1" s="473"/>
      <c r="C1" s="473"/>
      <c r="D1" s="473"/>
      <c r="E1" s="220" t="s">
        <v>510</v>
      </c>
      <c r="H1" s="8"/>
      <c r="I1" s="16"/>
    </row>
    <row r="2" spans="1:9" x14ac:dyDescent="0.2">
      <c r="A2" s="16" t="s">
        <v>75</v>
      </c>
      <c r="B2" s="9" t="s">
        <v>91</v>
      </c>
      <c r="C2" s="9" t="s">
        <v>92</v>
      </c>
      <c r="D2" s="9" t="s">
        <v>44</v>
      </c>
      <c r="E2" s="153">
        <v>0</v>
      </c>
      <c r="I2" s="13"/>
    </row>
    <row r="3" spans="1:9" x14ac:dyDescent="0.2">
      <c r="A3" s="17" t="s">
        <v>76</v>
      </c>
      <c r="B3" s="9"/>
      <c r="C3" s="9"/>
      <c r="D3" s="9"/>
      <c r="F3" t="s">
        <v>12</v>
      </c>
      <c r="G3" t="s">
        <v>174</v>
      </c>
      <c r="I3" s="9"/>
    </row>
    <row r="4" spans="1:9" hidden="1" x14ac:dyDescent="0.2">
      <c r="A4" s="15" t="s">
        <v>158</v>
      </c>
      <c r="B4" s="86">
        <v>0.126</v>
      </c>
      <c r="C4" s="18">
        <f>IF(E2=0,РПВ!BB11,SUMIF(РПВ!F8:F10,E2,РПВ!BB8:BB10))</f>
        <v>0</v>
      </c>
      <c r="D4" s="18">
        <f>IF(E2=0,РПВ!CM11,SUMIF(РПВ!F8:F10,E2,РПВ!CM8:CM10))</f>
        <v>0</v>
      </c>
      <c r="E4" s="91">
        <v>551111</v>
      </c>
      <c r="F4" s="18">
        <f t="shared" ref="F4:F25" si="0">D4</f>
        <v>0</v>
      </c>
      <c r="G4" s="232" t="str">
        <f>CONCATENATE("Пер-л",MID(E4,1,2))</f>
        <v>Пер-л55</v>
      </c>
      <c r="H4" s="174"/>
      <c r="I4" s="9"/>
    </row>
    <row r="5" spans="1:9" hidden="1" x14ac:dyDescent="0.2">
      <c r="A5" s="1" t="s">
        <v>159</v>
      </c>
      <c r="B5" s="86">
        <v>9.8000000000000004E-2</v>
      </c>
      <c r="C5" s="18">
        <f>IF(E2=0,РПВ!BC11,SUMIF(РПВ!F8:F10,E2,РПВ!BC8:BC10))</f>
        <v>0</v>
      </c>
      <c r="D5" s="18">
        <f>IF(E2=0,РПВ!CN11,SUMIF(РПВ!F8:F10,E2,РПВ!CN8:CN10))</f>
        <v>0</v>
      </c>
      <c r="E5" s="91">
        <v>551111</v>
      </c>
      <c r="F5" s="18">
        <f t="shared" si="0"/>
        <v>0</v>
      </c>
      <c r="G5" s="232" t="str">
        <f t="shared" ref="G5:G33" si="1">CONCATENATE("Пер-л",MID(E5,1,2))</f>
        <v>Пер-л55</v>
      </c>
      <c r="H5" s="174"/>
    </row>
    <row r="6" spans="1:9" hidden="1" x14ac:dyDescent="0.2">
      <c r="A6" s="1" t="s">
        <v>93</v>
      </c>
      <c r="B6" s="86">
        <v>9.9000000000000005E-2</v>
      </c>
      <c r="C6" s="18">
        <f>IF(E2=0,РПВ!BD11,SUMIF(РПВ!F8:F10,E2,РПВ!BD8:BD10))</f>
        <v>0</v>
      </c>
      <c r="D6" s="18">
        <f>IF(E2=0,РПВ!CO11,SUMIF(РПВ!F8:F10,E2,РПВ!CO8:CO10))</f>
        <v>0</v>
      </c>
      <c r="E6" s="91">
        <v>551111</v>
      </c>
      <c r="F6" s="18">
        <f t="shared" si="0"/>
        <v>0</v>
      </c>
      <c r="G6" s="232" t="str">
        <f t="shared" si="1"/>
        <v>Пер-л55</v>
      </c>
      <c r="I6" s="10"/>
    </row>
    <row r="7" spans="1:9" hidden="1" x14ac:dyDescent="0.2">
      <c r="A7" s="1" t="s">
        <v>94</v>
      </c>
      <c r="B7" s="86">
        <v>7.0999999999999994E-2</v>
      </c>
      <c r="C7" s="18">
        <f>IF(E2=0,РПВ!BE11,SUMIF(РПВ!F8:F10,E2,РПВ!BE8:BE10))</f>
        <v>0</v>
      </c>
      <c r="D7" s="18">
        <f>IF(E2=0,РПВ!CP11,SUMIF(РПВ!F8:F10,E2,РПВ!CP8:CP10))</f>
        <v>0</v>
      </c>
      <c r="E7" s="91">
        <v>551111</v>
      </c>
      <c r="F7" s="18">
        <f t="shared" si="0"/>
        <v>0</v>
      </c>
      <c r="G7" s="232" t="str">
        <f t="shared" si="1"/>
        <v>Пер-л55</v>
      </c>
      <c r="I7" s="10"/>
    </row>
    <row r="8" spans="1:9" hidden="1" x14ac:dyDescent="0.2">
      <c r="A8" s="1" t="s">
        <v>170</v>
      </c>
      <c r="B8" s="86">
        <v>0.129</v>
      </c>
      <c r="C8" s="18">
        <f>IF(E2=0,РПВ!CC11,SUMIF(РПВ!F8:F10,E2,РПВ!CC8:CC10))</f>
        <v>0</v>
      </c>
      <c r="D8" s="18">
        <f>IF(E2=0,РПВ!CQ11,SUMIF(РПВ!F8:F10,E2,РПВ!CQ8:CQ10))</f>
        <v>0</v>
      </c>
      <c r="E8" s="91">
        <v>551111</v>
      </c>
      <c r="F8" s="18">
        <f t="shared" si="0"/>
        <v>0</v>
      </c>
      <c r="G8" s="232" t="str">
        <f t="shared" si="1"/>
        <v>Пер-л55</v>
      </c>
      <c r="I8" s="10"/>
    </row>
    <row r="9" spans="1:9" hidden="1" x14ac:dyDescent="0.2">
      <c r="A9" s="1" t="s">
        <v>171</v>
      </c>
      <c r="B9" s="86">
        <v>0.10100000000000001</v>
      </c>
      <c r="C9" s="18">
        <f>IF(E2=0,РПВ!CD11,SUMIF(РПВ!F8:F10,E2,РПВ!CD8:CD10))</f>
        <v>0</v>
      </c>
      <c r="D9" s="18">
        <f>IF(E2=0,РПВ!CR11,SUMIF(РПВ!F8:F10,E2,РПВ!CR8:CR10))</f>
        <v>0</v>
      </c>
      <c r="E9" s="91">
        <v>551111</v>
      </c>
      <c r="F9" s="18">
        <f t="shared" si="0"/>
        <v>0</v>
      </c>
      <c r="G9" s="232" t="str">
        <f t="shared" si="1"/>
        <v>Пер-л55</v>
      </c>
      <c r="I9" s="10"/>
    </row>
    <row r="10" spans="1:9" hidden="1" x14ac:dyDescent="0.2">
      <c r="A10" s="1" t="s">
        <v>172</v>
      </c>
      <c r="B10" s="86">
        <v>0.129</v>
      </c>
      <c r="C10" s="18">
        <f>IF(E2=0,РПВ!CE11,SUMIF(РПВ!F8:F10,E2,РПВ!CE8:CE10))</f>
        <v>0</v>
      </c>
      <c r="D10" s="18">
        <f>IF(E2=0,РПВ!CS11,SUMIF(РПВ!F8:F10,E2,РПВ!CS8:CS10))</f>
        <v>0</v>
      </c>
      <c r="E10" s="91">
        <v>551111</v>
      </c>
      <c r="F10" s="18">
        <f t="shared" si="0"/>
        <v>0</v>
      </c>
      <c r="G10" s="232" t="str">
        <f t="shared" si="1"/>
        <v>Пер-л55</v>
      </c>
      <c r="I10" s="10"/>
    </row>
    <row r="11" spans="1:9" hidden="1" x14ac:dyDescent="0.2">
      <c r="A11" s="1" t="s">
        <v>173</v>
      </c>
      <c r="B11" s="86">
        <v>0.10100000000000001</v>
      </c>
      <c r="C11" s="18">
        <f>IF(E2=0,РПВ!CF11,SUMIF(РПВ!F8:F10,E2,РПВ!CF8:CF10))</f>
        <v>0</v>
      </c>
      <c r="D11" s="18">
        <f>IF(E2=0,РПВ!CT11,SUMIF(РПВ!F8:F10,E2,РПВ!CT8:CT10))</f>
        <v>0</v>
      </c>
      <c r="E11" s="91">
        <v>551111</v>
      </c>
      <c r="F11" s="18">
        <f t="shared" si="0"/>
        <v>0</v>
      </c>
      <c r="G11" s="232" t="str">
        <f t="shared" si="1"/>
        <v>Пер-л55</v>
      </c>
      <c r="I11" s="10"/>
    </row>
    <row r="12" spans="1:9" hidden="1" x14ac:dyDescent="0.2">
      <c r="A12" s="1" t="s">
        <v>318</v>
      </c>
      <c r="B12" s="86">
        <v>9.9000000000000005E-2</v>
      </c>
      <c r="C12" s="18">
        <f>IF(E2=0,РПВ!CG11,SUMIF(РПВ!F8:F10,E2,РПВ!CG8:CG10))</f>
        <v>0</v>
      </c>
      <c r="D12" s="18">
        <f>IF(E2=0,РПВ!CU11,SUMIF(РПВ!F8:F10,E2,РПВ!CU8:CU10))</f>
        <v>0</v>
      </c>
      <c r="E12" s="91">
        <v>551111</v>
      </c>
      <c r="F12" s="18">
        <f t="shared" si="0"/>
        <v>0</v>
      </c>
      <c r="G12" s="232" t="str">
        <f t="shared" si="1"/>
        <v>Пер-л55</v>
      </c>
      <c r="I12" s="10"/>
    </row>
    <row r="13" spans="1:9" hidden="1" x14ac:dyDescent="0.2">
      <c r="A13" s="1" t="s">
        <v>319</v>
      </c>
      <c r="B13" s="86">
        <v>7.0999999999999994E-2</v>
      </c>
      <c r="C13" s="18">
        <f>IF(E2=0,РПВ!CH11,SUMIF(РПВ!F8:F10,E2,РПВ!CH8:CH10))</f>
        <v>0</v>
      </c>
      <c r="D13" s="18">
        <f>IF(E2=0,РПВ!CV11,SUMIF(РПВ!F8:F10,E2,РПВ!CV8:CV10))</f>
        <v>0</v>
      </c>
      <c r="E13" s="91">
        <v>551111</v>
      </c>
      <c r="F13" s="18">
        <f t="shared" si="0"/>
        <v>0</v>
      </c>
      <c r="G13" s="232" t="str">
        <f t="shared" si="1"/>
        <v>Пер-л55</v>
      </c>
      <c r="I13" s="10"/>
    </row>
    <row r="14" spans="1:9" hidden="1" x14ac:dyDescent="0.2">
      <c r="A14" s="1" t="s">
        <v>320</v>
      </c>
      <c r="B14" s="86">
        <v>0.126</v>
      </c>
      <c r="C14" s="18">
        <f>IF(E2=0,РПВ!BY11,SUMIF(РПВ!F8:F10,E2,РПВ!BY8:BY10))</f>
        <v>0</v>
      </c>
      <c r="D14" s="18">
        <f>IF(E2=0,РПВ!DC11,SUMIF(РПВ!F8:F10,E2,РПВ!DC8:DC10))</f>
        <v>0</v>
      </c>
      <c r="E14" s="91">
        <v>551111</v>
      </c>
      <c r="F14" s="18">
        <f t="shared" si="0"/>
        <v>0</v>
      </c>
      <c r="G14" s="232" t="str">
        <f t="shared" si="1"/>
        <v>Пер-л55</v>
      </c>
      <c r="I14" s="10"/>
    </row>
    <row r="15" spans="1:9" hidden="1" x14ac:dyDescent="0.2">
      <c r="A15" s="1" t="s">
        <v>321</v>
      </c>
      <c r="B15" s="86">
        <v>9.8000000000000004E-2</v>
      </c>
      <c r="C15" s="18">
        <f>IF(E2=0,РПВ!BZ11,SUMIF(РПВ!F8:F10,E2,РПВ!BZ8:BZ10))</f>
        <v>0</v>
      </c>
      <c r="D15" s="18">
        <f>IF(E2=0,РПВ!DD11,SUMIF(РПВ!F8:F10,E2,РПВ!DD8:DD10))</f>
        <v>0</v>
      </c>
      <c r="E15" s="91">
        <v>551111</v>
      </c>
      <c r="F15" s="18">
        <f t="shared" si="0"/>
        <v>0</v>
      </c>
      <c r="G15" s="232" t="str">
        <f t="shared" si="1"/>
        <v>Пер-л55</v>
      </c>
      <c r="I15" s="10"/>
    </row>
    <row r="16" spans="1:9" hidden="1" x14ac:dyDescent="0.2">
      <c r="A16" s="1" t="s">
        <v>154</v>
      </c>
      <c r="B16" s="86">
        <v>9.9000000000000005E-2</v>
      </c>
      <c r="C16" s="18">
        <f>IF(E2=0,РПВ!BS11,SUMIF(РПВ!F8:F10,E2,РПВ!BS8:BS10))</f>
        <v>0</v>
      </c>
      <c r="D16" s="18">
        <f>IF(E2=0,РПВ!CW11,SUMIF(РПВ!F8:F10,E2,РПВ!CW8:CW10))</f>
        <v>0</v>
      </c>
      <c r="E16" s="91">
        <v>551111</v>
      </c>
      <c r="F16" s="18">
        <f t="shared" si="0"/>
        <v>0</v>
      </c>
      <c r="G16" s="232" t="str">
        <f t="shared" si="1"/>
        <v>Пер-л55</v>
      </c>
      <c r="I16" s="10"/>
    </row>
    <row r="17" spans="1:9" hidden="1" x14ac:dyDescent="0.2">
      <c r="A17" s="1" t="s">
        <v>155</v>
      </c>
      <c r="B17" s="86">
        <v>7.0999999999999994E-2</v>
      </c>
      <c r="C17" s="18">
        <f>IF(E2=0,РПВ!BT11,SUMIF(РПВ!F8:F10,E2,РПВ!BT8:BT10))</f>
        <v>0</v>
      </c>
      <c r="D17" s="18">
        <f>IF(E2=0,РПВ!CX11,SUMIF(РПВ!F8:F10,E2,РПВ!CX8:CX10))</f>
        <v>0</v>
      </c>
      <c r="E17" s="91">
        <v>551111</v>
      </c>
      <c r="F17" s="18">
        <f t="shared" si="0"/>
        <v>0</v>
      </c>
      <c r="G17" s="232" t="str">
        <f t="shared" si="1"/>
        <v>Пер-л55</v>
      </c>
      <c r="I17" s="10"/>
    </row>
    <row r="18" spans="1:9" hidden="1" x14ac:dyDescent="0.2">
      <c r="A18" s="15" t="s">
        <v>156</v>
      </c>
      <c r="B18" s="86">
        <v>0.156</v>
      </c>
      <c r="C18" s="18">
        <f>IF(E2=0,РПВ!BU11,SUMIF(РПВ!F8:F10,E2,РПВ!BU8:BU10))</f>
        <v>0</v>
      </c>
      <c r="D18" s="18">
        <f>IF(E2=0,РПВ!CY11,SUMIF(РПВ!F8:F10,E2,РПВ!CY8:CY10))</f>
        <v>0</v>
      </c>
      <c r="E18" s="91">
        <v>551111</v>
      </c>
      <c r="F18" s="18">
        <f t="shared" si="0"/>
        <v>0</v>
      </c>
      <c r="G18" s="232" t="str">
        <f t="shared" si="1"/>
        <v>Пер-л55</v>
      </c>
      <c r="I18" s="9"/>
    </row>
    <row r="19" spans="1:9" hidden="1" x14ac:dyDescent="0.2">
      <c r="A19" s="1" t="s">
        <v>157</v>
      </c>
      <c r="B19" s="86">
        <v>0.128</v>
      </c>
      <c r="C19" s="18">
        <f>IF(E2=0,РПВ!BV11,SUMIF(РПВ!F8:F10,E2,РПВ!BV8:BV10))</f>
        <v>0</v>
      </c>
      <c r="D19" s="18">
        <f>IF(E2=0,РПВ!CZ11,SUMIF(РПВ!F8:F10,E2,РПВ!CZ8:CZ10))</f>
        <v>0</v>
      </c>
      <c r="E19" s="91">
        <v>551111</v>
      </c>
      <c r="F19" s="18">
        <f t="shared" si="0"/>
        <v>0</v>
      </c>
      <c r="G19" s="232" t="str">
        <f t="shared" si="1"/>
        <v>Пер-л55</v>
      </c>
    </row>
    <row r="20" spans="1:9" hidden="1" x14ac:dyDescent="0.2">
      <c r="A20" s="15" t="s">
        <v>160</v>
      </c>
      <c r="B20" s="86">
        <v>0.156</v>
      </c>
      <c r="C20" s="18">
        <f>IF(E2=0,РПВ!BW11,SUMIF(РПВ!F8:F10,E2,РПВ!BW8:BW10))</f>
        <v>0</v>
      </c>
      <c r="D20" s="18">
        <f>IF(E2=0,РПВ!DA11,SUMIF(РПВ!F8:F10,E2,РПВ!DA8:DA10))</f>
        <v>0</v>
      </c>
      <c r="E20" s="91">
        <v>551111</v>
      </c>
      <c r="F20" s="18">
        <f t="shared" si="0"/>
        <v>0</v>
      </c>
      <c r="G20" s="232" t="str">
        <f t="shared" si="1"/>
        <v>Пер-л55</v>
      </c>
      <c r="I20" s="9"/>
    </row>
    <row r="21" spans="1:9" hidden="1" x14ac:dyDescent="0.2">
      <c r="A21" s="1" t="s">
        <v>161</v>
      </c>
      <c r="B21" s="86">
        <v>0.128</v>
      </c>
      <c r="C21" s="18">
        <f>IF(E2=0,РПВ!BX11,SUMIF(РПВ!F8:F10,E2,РПВ!BX8:BX10))</f>
        <v>0</v>
      </c>
      <c r="D21" s="18">
        <f>РПВ!DB11</f>
        <v>0</v>
      </c>
      <c r="E21" s="91">
        <v>551111</v>
      </c>
      <c r="F21" s="18">
        <f t="shared" si="0"/>
        <v>0</v>
      </c>
      <c r="G21" s="232" t="str">
        <f t="shared" si="1"/>
        <v>Пер-л55</v>
      </c>
    </row>
    <row r="22" spans="1:9" hidden="1" x14ac:dyDescent="0.2">
      <c r="A22" s="208" t="s">
        <v>443</v>
      </c>
      <c r="B22" s="86">
        <v>9.9000000000000005E-2</v>
      </c>
      <c r="C22" s="18">
        <f>IF(E2=0,РПВ!CA11,SUMIF(РПВ!F8:F10,E2,РПВ!CA8:CA10))</f>
        <v>0</v>
      </c>
      <c r="D22" s="18">
        <f>IF(E2=0,РПВ!DE11,SUMIF(РПВ!F8:F10,E2,РПВ!DE8:DE10))</f>
        <v>0</v>
      </c>
      <c r="E22" s="91">
        <v>551111</v>
      </c>
      <c r="F22" s="18">
        <f t="shared" si="0"/>
        <v>0</v>
      </c>
      <c r="G22" s="232" t="str">
        <f t="shared" si="1"/>
        <v>Пер-л55</v>
      </c>
    </row>
    <row r="23" spans="1:9" hidden="1" x14ac:dyDescent="0.2">
      <c r="A23" s="182" t="s">
        <v>444</v>
      </c>
      <c r="B23" s="86">
        <v>7.0999999999999994E-2</v>
      </c>
      <c r="C23" s="18">
        <f>IF(E2=0,РПВ!CB11,SUMIF(РПВ!F8:F10,E2,РПВ!CB8:CB10))</f>
        <v>0</v>
      </c>
      <c r="D23" s="18">
        <f>IF(E2=0,РПВ!DF11,SUMIF(РПВ!F8:F10,E2,РПВ!DF8:DF10))</f>
        <v>0</v>
      </c>
      <c r="E23" s="91">
        <v>551111</v>
      </c>
      <c r="F23" s="18">
        <f t="shared" si="0"/>
        <v>0</v>
      </c>
      <c r="G23" s="232" t="str">
        <f t="shared" si="1"/>
        <v>Пер-л55</v>
      </c>
    </row>
    <row r="24" spans="1:9" hidden="1" x14ac:dyDescent="0.2">
      <c r="A24" s="1" t="s">
        <v>77</v>
      </c>
      <c r="B24" s="86">
        <f>РПВ!I15</f>
        <v>4.0000000000000001E-3</v>
      </c>
      <c r="C24" s="18">
        <f>IF(E2=0,РПВ!BB11+РПВ!BC11+РПВ!BS11+РПВ!BT11+РПВ!BU11+РПВ!BV11+РПВ!BW11+РПВ!BX11+РПВ!BY11+РПВ!BZ11,SUMIF(РПВ!F8:F10,E2,РПВ!BB8:BB10)+SUMIF(РПВ!F8:F10,E2,РПВ!BC8:BC10)+SUMIF(РПВ!F8:F10,E2,РПВ!BS8:BS10)+SUMIF(РПВ!F8:F10,E2,РПВ!BT8:BT10)+SUMIF(РПВ!F8:F10,E2,РПВ!BU8:BU10)+SUMIF(РПВ!F8:F10,E2,РПВ!BV8:BV10)+SUMIF(РПВ!F8:F10,E2,РПВ!BW8:BW10)+SUMIF(РПВ!F8:F10,E2,РПВ!BX8:BX10)+SUMIF(РПВ!F8:F10,E2,РПВ!BY8:BY10)+SUMIF(РПВ!F8:F10,E2,РПВ!BZ8:BZ10))</f>
        <v>0</v>
      </c>
      <c r="D24" s="18">
        <f>IF(E2=0,РПВ!DG11,SUMIF(РПВ!F8:F10,E2,РПВ!DG8:DG10))</f>
        <v>0</v>
      </c>
      <c r="E24" s="91">
        <v>551111</v>
      </c>
      <c r="F24" s="18">
        <f t="shared" si="0"/>
        <v>0</v>
      </c>
      <c r="G24" s="232" t="str">
        <f t="shared" si="1"/>
        <v>Пер-л55</v>
      </c>
      <c r="I24" s="10"/>
    </row>
    <row r="25" spans="1:9" hidden="1" x14ac:dyDescent="0.2">
      <c r="A25" s="1" t="s">
        <v>78</v>
      </c>
      <c r="B25" s="86">
        <f>Систем!D25</f>
        <v>0</v>
      </c>
      <c r="C25" s="18">
        <f>IF(E2=0,РПВ!BF11,SUMIF(РПВ!F8:F10,E2,РПВ!BF8:BF10))</f>
        <v>0</v>
      </c>
      <c r="D25" s="18">
        <f>IF(E2=0,РПВ!DH11,SUMIF(РПВ!F8:F10,E2,РПВ!DH8:DH10))</f>
        <v>0</v>
      </c>
      <c r="E25" s="91">
        <v>551111</v>
      </c>
      <c r="F25" s="18">
        <f t="shared" si="0"/>
        <v>0</v>
      </c>
      <c r="G25" s="232" t="str">
        <f t="shared" si="1"/>
        <v>Пер-л55</v>
      </c>
      <c r="I25" s="9"/>
    </row>
    <row r="26" spans="1:9" hidden="1" x14ac:dyDescent="0.2">
      <c r="A26" s="1" t="s">
        <v>325</v>
      </c>
      <c r="B26" s="86">
        <v>2.8000000000000001E-2</v>
      </c>
      <c r="C26" s="18">
        <f>IF(E2=0,РПВ!BC11+РПВ!BE11+РПВ!BT11+РПВ!BV11+РПВ!BX11+РПВ!CD11+РПВ!CF11+РПВ!CB11,SUMIF(РПВ!F8:F10,E2,РПВ!BC8:BC10)+SUMIF(РПВ!F8:F10,E2,РПВ!BE8:BE10)+SUMIF(РПВ!F8:F10,E2,РПВ!BT8:BT10)+SUMIF(РПВ!F8:F10,E2,РПВ!BV8:BV10)+SUMIF(РПВ!F8:F10,E2,РПВ!BX8:BX10)+SUMIF(РПВ!F8:F10,E2,РПВ!CD8:CD10)+SUMIF(РПВ!F8:F10,E2,РПВ!CF8:CF10)+SUMIF(РПВ!F8:F10,E2,РПВ!CB8:CB10))</f>
        <v>0</v>
      </c>
      <c r="D26" s="18">
        <f>IF(E2=0,РПВ!DI11,SUMIF(РПВ!F8:F10,E2,РПВ!DI8:DI10))</f>
        <v>0</v>
      </c>
      <c r="E26" s="91">
        <v>581111</v>
      </c>
      <c r="F26" s="18">
        <f t="shared" ref="F26:F34" si="2">D26</f>
        <v>0</v>
      </c>
      <c r="G26" s="232" t="str">
        <f t="shared" si="1"/>
        <v>Пер-л58</v>
      </c>
      <c r="I26" s="9"/>
    </row>
    <row r="27" spans="1:9" hidden="1" x14ac:dyDescent="0.2">
      <c r="A27" s="1" t="s">
        <v>328</v>
      </c>
      <c r="B27" s="86">
        <v>2.8000000000000001E-2</v>
      </c>
      <c r="C27" s="18">
        <f>IF(E2=0,РПВ!BZ11+РПВ!CH11,SUMIF(РПВ!F8:F10,E2,РПВ!BZ8:BZ10)+SUMIF(РПВ!F8:F10,E2,РПВ!CH8:CH10))</f>
        <v>0</v>
      </c>
      <c r="D27" s="18">
        <f>IF(E2=0,РПВ!DJ11,SUMIF(РПВ!F8:F10,E2,РПВ!DJ8:DJ10))</f>
        <v>0</v>
      </c>
      <c r="E27" s="91">
        <v>581111</v>
      </c>
      <c r="F27" s="18">
        <f t="shared" si="2"/>
        <v>0</v>
      </c>
      <c r="G27" s="232" t="str">
        <f t="shared" si="1"/>
        <v>Пер-л58</v>
      </c>
      <c r="I27" s="9"/>
    </row>
    <row r="28" spans="1:9" hidden="1" x14ac:dyDescent="0.2">
      <c r="A28" s="1" t="s">
        <v>162</v>
      </c>
      <c r="B28" s="86">
        <v>7.0000000000000007E-2</v>
      </c>
      <c r="C28" s="18">
        <f>IF(E2=0,РПВ!CC11+РПВ!CD11+РПВ!BU11+РПВ!BV11,SUMIF(РПВ!F8:F10,E2,РПВ!CC8:CC10)+SUMIF(РПВ!F8:F10,E2,РПВ!CD8:CD10)+SUMIF(РПВ!F8:F10,E2,РПВ!BU8:BU10)+SUMIF(РПВ!F8:F10,E2,РПВ!BV8:BV10))</f>
        <v>0</v>
      </c>
      <c r="D28" s="18">
        <f>IF(E2=0,РПВ!DK11,SUMIF(РПВ!F8:F10,E2,РПВ!DK8:DK10))</f>
        <v>0</v>
      </c>
      <c r="E28" s="91">
        <v>581111</v>
      </c>
      <c r="F28" s="18">
        <f t="shared" si="2"/>
        <v>0</v>
      </c>
      <c r="G28" s="232" t="str">
        <f t="shared" si="1"/>
        <v>Пер-л58</v>
      </c>
      <c r="I28" s="9"/>
    </row>
    <row r="29" spans="1:9" hidden="1" x14ac:dyDescent="0.2">
      <c r="A29" s="1" t="s">
        <v>163</v>
      </c>
      <c r="B29" s="86">
        <v>0.12</v>
      </c>
      <c r="C29" s="18">
        <f>IF(E2=0,РПВ!BW11+РПВ!BX11+РПВ!CE11+РПВ!CF11,SUMIF(РПВ!F8:F10,E2,РПВ!BW8:BW10)+SUMIF(РПВ!F8:F10,E2,РПВ!BX8:BX10)+SUMIF(РПВ!F8:F10,E2,РПВ!CE8:CE10)+SUMIF(РПВ!F8:F10,E2,РПВ!CF8:CF10))</f>
        <v>0</v>
      </c>
      <c r="D29" s="18">
        <f>IF(E2=0,РПВ!DL11,SUMIF(РПВ!F8:F10,E2,РПВ!DL8:DL10))</f>
        <v>0</v>
      </c>
      <c r="E29" s="91">
        <v>581111</v>
      </c>
      <c r="F29" s="18">
        <f t="shared" si="2"/>
        <v>0</v>
      </c>
      <c r="G29" s="232" t="str">
        <f t="shared" si="1"/>
        <v>Пер-л58</v>
      </c>
      <c r="I29" s="9"/>
    </row>
    <row r="30" spans="1:9" s="87" customFormat="1" hidden="1" x14ac:dyDescent="0.2">
      <c r="A30" s="87" t="s">
        <v>79</v>
      </c>
      <c r="B30" s="88">
        <v>4.8000000000000001E-2</v>
      </c>
      <c r="C30" s="89">
        <f>IF(E2=0,РПВ!BB11+РПВ!BC11+РПВ!BD11+РПВ!BE11+РПВ!BS11+РПВ!BT11+SUM(РПВ!BU11:BX11,РПВ!CC11:CF11),SUMIF(РПВ!F8:F10,E2,РПВ!BB8:BB10)+SUMIF(РПВ!F8:F10,E2,РПВ!BC8:BC10)+SUMIF(РПВ!F8:F10,E2,РПВ!BD8:BD10)+SUMIF(РПВ!F8:F10,E2,РПВ!BE8:BE10)+SUMIF(РПВ!F8:F10,E2,РПВ!BS8:BS10)+SUMIF(РПВ!F8:F10,E2,РПВ!BT8:BT10)+SUMIF(РПВ!F8:F10,E2,РПВ!BU8:BU10)+SUMIF(РПВ!F8:F10,E2,РПВ!BV8:BV10)+SUMIF(РПВ!F8:F10,E2,РПВ!BW8:BW10)+SUMIF(РПВ!F8:F10,E2,РПВ!BY8:BY10)+SUMIF(РПВ!F8:F10,E2,РПВ!CC8:CC10)+SUMIF(РПВ!F8:F10,E2,РПВ!CD8:CD10)+SUMIF(РПВ!F8:F10,E2,РПВ!CE8:CE10)+SUMIF(РПВ!F8:F10,E2,РПВ!CF8:CF10))</f>
        <v>0</v>
      </c>
      <c r="D30" s="89">
        <f>IF(E2=0,РПВ!DM11,SUMIF(РПВ!F8:F10,E2,РПВ!DM8:DM10))</f>
        <v>0</v>
      </c>
      <c r="E30" s="94">
        <v>561111</v>
      </c>
      <c r="F30" s="18">
        <f t="shared" si="2"/>
        <v>0</v>
      </c>
      <c r="G30" s="232" t="str">
        <f t="shared" si="1"/>
        <v>Пер-л56</v>
      </c>
      <c r="H30" s="174"/>
      <c r="I30" s="90"/>
    </row>
    <row r="31" spans="1:9" s="87" customFormat="1" hidden="1" x14ac:dyDescent="0.2">
      <c r="A31" s="87" t="s">
        <v>335</v>
      </c>
      <c r="B31" s="88">
        <v>4.8000000000000001E-2</v>
      </c>
      <c r="C31" s="89">
        <f>IF(E2=0,SUM(РПВ!BY11:BZ11,РПВ!CG11:CH11),SUMIF(РПВ!F8:F10,E2,РПВ!BY8:BY10)+SUMIF(РПВ!F8:F10,E2,РПВ!BZ8:BZ10)+SUMIF(РПВ!F8:F10,E2,РПВ!CG8:CG10)+SUMIF(РПВ!F8:F10,E2,РПВ!CH8:CH10))</f>
        <v>0</v>
      </c>
      <c r="D31" s="89">
        <f>IF(E2=0,РПВ!DN11,SUMIF(РПВ!F8:F10,E2,РПВ!DN8:DN10))</f>
        <v>0</v>
      </c>
      <c r="E31" s="94">
        <v>561111</v>
      </c>
      <c r="F31" s="18">
        <f t="shared" si="2"/>
        <v>0</v>
      </c>
      <c r="G31" s="232" t="str">
        <f t="shared" si="1"/>
        <v>Пер-л56</v>
      </c>
      <c r="H31" s="174"/>
      <c r="I31" s="90"/>
    </row>
    <row r="32" spans="1:9" hidden="1" x14ac:dyDescent="0.2">
      <c r="A32" s="1" t="s">
        <v>80</v>
      </c>
      <c r="B32" s="86">
        <v>4.8000000000000001E-2</v>
      </c>
      <c r="C32" s="18">
        <f>IF(E2=0,SUM(РПВ!CI11:CJ11)-РПВ!BR11,SUMIF(РПВ!F8:F10,E2,РПВ!CI8:CI10)+SUMIF(РПВ!F8:F10,E2,РПВ!CJ8:CJ10)-SUMIF(РПВ!F8:F10,E2,РПВ!BR8:BR10))</f>
        <v>0</v>
      </c>
      <c r="D32" s="18">
        <f>IF(E2=0,РПВ!DO11,SUMIF(РПВ!F8:F10,E2,РПВ!DO8:DO10))</f>
        <v>0</v>
      </c>
      <c r="E32" s="94">
        <v>561111</v>
      </c>
      <c r="F32" s="18">
        <f t="shared" si="2"/>
        <v>0</v>
      </c>
      <c r="G32" s="232" t="str">
        <f t="shared" si="1"/>
        <v>Пер-л56</v>
      </c>
      <c r="I32" s="10"/>
    </row>
    <row r="33" spans="1:9" hidden="1" x14ac:dyDescent="0.2">
      <c r="A33" s="1" t="s">
        <v>81</v>
      </c>
      <c r="B33" s="86">
        <v>0.08</v>
      </c>
      <c r="C33" s="18">
        <f>IF(E2=0,РПВ!BG11,SUMIF(РПВ!F8:F10,E2,РПВ!BG8:BG10))</f>
        <v>0</v>
      </c>
      <c r="D33" s="18">
        <f>IF(E2=0,РПВ!DP11,SUMIF(РПВ!F8:F10,E2,РПВ!DP8:DP10))</f>
        <v>0</v>
      </c>
      <c r="E33" s="94">
        <v>561111</v>
      </c>
      <c r="F33" s="18">
        <f t="shared" si="2"/>
        <v>0</v>
      </c>
      <c r="G33" s="232" t="str">
        <f t="shared" si="1"/>
        <v>Пер-л56</v>
      </c>
      <c r="I33" s="9"/>
    </row>
    <row r="34" spans="1:9" hidden="1" x14ac:dyDescent="0.2">
      <c r="A34" s="1" t="s">
        <v>202</v>
      </c>
      <c r="B34" s="86">
        <f>Систем!P7</f>
        <v>4.2999999999999997E-2</v>
      </c>
      <c r="C34" s="18">
        <f>IF(E2=0,РПВ!CK11,SUMIF(РПВ!F8:F10,E2,РПВ!CK8:CK10))</f>
        <v>0</v>
      </c>
      <c r="D34" s="18">
        <f>IF(E2=0,РПВ!DR11,SUMIF(РПВ!F8:F10,E2,РПВ!DR8:DR10))</f>
        <v>0</v>
      </c>
      <c r="E34" s="91">
        <v>551111</v>
      </c>
      <c r="F34" s="18">
        <f t="shared" si="2"/>
        <v>0</v>
      </c>
      <c r="G34" s="232" t="str">
        <f>CONCATENATE("Пер-л",MID(E34,1,2))</f>
        <v>Пер-л55</v>
      </c>
      <c r="I34" s="9"/>
    </row>
    <row r="35" spans="1:9" ht="13.5" thickBot="1" x14ac:dyDescent="0.25">
      <c r="B35" s="474" t="s">
        <v>18</v>
      </c>
      <c r="C35" s="474"/>
      <c r="D35" s="19">
        <f>SUM(D4:D34)</f>
        <v>0</v>
      </c>
      <c r="F35" s="18">
        <f t="shared" ref="F35:F71" si="3">D38</f>
        <v>0</v>
      </c>
      <c r="G35" s="232" t="str">
        <f>CONCATENATE("Пер-л",MID(E38,1,2))</f>
        <v>Пер-л55</v>
      </c>
      <c r="I35" s="9"/>
    </row>
    <row r="36" spans="1:9" ht="13.5" thickTop="1" x14ac:dyDescent="0.2">
      <c r="B36" s="10"/>
      <c r="F36" s="18">
        <f t="shared" si="3"/>
        <v>0</v>
      </c>
      <c r="G36" s="232" t="str">
        <f t="shared" ref="G36:G56" si="4">CONCATENATE("Пер-л",MID(E39,1,2))</f>
        <v>Пер-л55</v>
      </c>
    </row>
    <row r="37" spans="1:9" x14ac:dyDescent="0.2">
      <c r="A37" s="17" t="s">
        <v>82</v>
      </c>
      <c r="B37" s="10"/>
      <c r="F37" s="18">
        <f t="shared" si="3"/>
        <v>0</v>
      </c>
      <c r="G37" s="232" t="str">
        <f t="shared" si="4"/>
        <v>Пер-л55</v>
      </c>
    </row>
    <row r="38" spans="1:9" hidden="1" x14ac:dyDescent="0.2">
      <c r="A38" s="15" t="s">
        <v>83</v>
      </c>
      <c r="B38" s="86">
        <v>9.7000000000000003E-2</v>
      </c>
      <c r="C38" s="18">
        <f>IF(E2=0,РПВ!BB11,SUMIF(РПВ!F8:F10,E2,РПВ!BB8:BB10))</f>
        <v>0</v>
      </c>
      <c r="D38" s="18">
        <f>IF(E2=0,РПВ!DT11,SUMIF(РПВ!F8:F10,E2,РПВ!DT8:DT10))</f>
        <v>0</v>
      </c>
      <c r="E38" s="91">
        <v>551111</v>
      </c>
      <c r="F38" s="18">
        <f t="shared" si="3"/>
        <v>0</v>
      </c>
      <c r="G38" s="232" t="str">
        <f t="shared" si="4"/>
        <v>Пер-л55</v>
      </c>
    </row>
    <row r="39" spans="1:9" hidden="1" x14ac:dyDescent="0.2">
      <c r="A39" s="1" t="s">
        <v>84</v>
      </c>
      <c r="B39" s="86">
        <v>7.4999999999999997E-2</v>
      </c>
      <c r="C39" s="18">
        <f>IF(E2=0,РПВ!BC11,SUMIF(РПВ!F8:F10,E2,РПВ!BC8:BC10))</f>
        <v>0</v>
      </c>
      <c r="D39" s="18">
        <f>IF(E2=0,РПВ!DU11,SUMIF(РПВ!F8:F10,E2,РПВ!DU8:DU10))</f>
        <v>0</v>
      </c>
      <c r="E39" s="91">
        <v>551111</v>
      </c>
      <c r="F39" s="18">
        <f t="shared" si="3"/>
        <v>0</v>
      </c>
      <c r="G39" s="232" t="str">
        <f t="shared" si="4"/>
        <v>Пер-л55</v>
      </c>
    </row>
    <row r="40" spans="1:9" hidden="1" x14ac:dyDescent="0.2">
      <c r="A40" s="1" t="s">
        <v>93</v>
      </c>
      <c r="B40" s="86">
        <v>7.9000000000000001E-2</v>
      </c>
      <c r="C40" s="18">
        <f>IF(E2=0,РПВ!BD11,SUMIF(РПВ!F8:F10,E2,РПВ!BD8:BD10))</f>
        <v>0</v>
      </c>
      <c r="D40" s="18">
        <f>IF(E2=0,РПВ!DV11,SUMIF(РПВ!F8:F10,E2,РПВ!DV8:DV10))</f>
        <v>0</v>
      </c>
      <c r="E40" s="91">
        <v>551111</v>
      </c>
      <c r="F40" s="18">
        <f t="shared" si="3"/>
        <v>0</v>
      </c>
      <c r="G40" s="232" t="str">
        <f t="shared" si="4"/>
        <v>Пер-л55</v>
      </c>
      <c r="I40" s="10"/>
    </row>
    <row r="41" spans="1:9" hidden="1" x14ac:dyDescent="0.2">
      <c r="A41" s="1" t="s">
        <v>94</v>
      </c>
      <c r="B41" s="86">
        <v>5.7000000000000002E-2</v>
      </c>
      <c r="C41" s="18">
        <f>IF(E2=0,РПВ!BE11,SUMIF(РПВ!F8:F10,E2,РПВ!BE8:BE10))</f>
        <v>0</v>
      </c>
      <c r="D41" s="18">
        <f>IF(E2=0,РПВ!DW11,SUMIF(РПВ!F8:F10,E2,РПВ!DW8:DW10))</f>
        <v>0</v>
      </c>
      <c r="E41" s="91">
        <v>551111</v>
      </c>
      <c r="F41" s="18">
        <f t="shared" si="3"/>
        <v>0</v>
      </c>
      <c r="G41" s="232" t="str">
        <f t="shared" si="4"/>
        <v>Пер-л55</v>
      </c>
      <c r="I41" s="10"/>
    </row>
    <row r="42" spans="1:9" hidden="1" x14ac:dyDescent="0.2">
      <c r="A42" s="1" t="s">
        <v>170</v>
      </c>
      <c r="B42" s="86">
        <v>7.9000000000000001E-2</v>
      </c>
      <c r="C42" s="18">
        <f>IF(E2=0,РПВ!CC11,SUMIF(РПВ!F8:F10,E2,РПВ!CC8:CC10))</f>
        <v>0</v>
      </c>
      <c r="D42" s="18">
        <f>IF(E2=0,РПВ!DX11,SUMIF(РПВ!F8:F10,E2,РПВ!DX8:DX10))</f>
        <v>0</v>
      </c>
      <c r="E42" s="91">
        <v>551111</v>
      </c>
      <c r="F42" s="18">
        <f t="shared" si="3"/>
        <v>0</v>
      </c>
      <c r="G42" s="232" t="str">
        <f t="shared" si="4"/>
        <v>Пер-л55</v>
      </c>
      <c r="I42" s="10"/>
    </row>
    <row r="43" spans="1:9" hidden="1" x14ac:dyDescent="0.2">
      <c r="A43" s="1" t="s">
        <v>171</v>
      </c>
      <c r="B43" s="86">
        <v>5.7000000000000002E-2</v>
      </c>
      <c r="C43" s="18">
        <f>IF(E2=0,РПВ!CD11,SUMIF(РПВ!F8:F10,E2,РПВ!CD8:CD10))</f>
        <v>0</v>
      </c>
      <c r="D43" s="18">
        <f>IF(E2=0,РПВ!DY11,SUMIF(РПВ!F8:F10,E2,РПВ!DY8:DY10))</f>
        <v>0</v>
      </c>
      <c r="E43" s="91">
        <v>551111</v>
      </c>
      <c r="F43" s="18">
        <f t="shared" si="3"/>
        <v>0</v>
      </c>
      <c r="G43" s="232" t="str">
        <f t="shared" si="4"/>
        <v>Пер-л55</v>
      </c>
      <c r="I43" s="10"/>
    </row>
    <row r="44" spans="1:9" hidden="1" x14ac:dyDescent="0.2">
      <c r="A44" s="1" t="s">
        <v>172</v>
      </c>
      <c r="B44" s="86">
        <v>7.9000000000000001E-2</v>
      </c>
      <c r="C44" s="18">
        <f>IF(E2=0,РПВ!CE11,SUMIF(РПВ!F8:F10,E2,РПВ!CE8:CE10))</f>
        <v>0</v>
      </c>
      <c r="D44" s="18">
        <f>IF(E2=0,РПВ!DZ11,SUMIF(РПВ!F8:F10,E2,РПВ!DZ8:DZ10))</f>
        <v>0</v>
      </c>
      <c r="E44" s="91">
        <v>551111</v>
      </c>
      <c r="F44" s="18">
        <f t="shared" si="3"/>
        <v>0</v>
      </c>
      <c r="G44" s="232" t="str">
        <f t="shared" si="4"/>
        <v>Пер-л55</v>
      </c>
      <c r="I44" s="10"/>
    </row>
    <row r="45" spans="1:9" hidden="1" x14ac:dyDescent="0.2">
      <c r="A45" s="1" t="s">
        <v>173</v>
      </c>
      <c r="B45" s="86">
        <v>5.7000000000000002E-2</v>
      </c>
      <c r="C45" s="18">
        <f>IF(E2=0,РПВ!CF11,SUMIF(РПВ!F8:F10,E2,РПВ!CF8:CF10))</f>
        <v>0</v>
      </c>
      <c r="D45" s="18">
        <f>IF(E2=0,РПВ!EA11,SUMIF(РПВ!F8:F10,E2,РПВ!EA8:EA10))</f>
        <v>0</v>
      </c>
      <c r="E45" s="91">
        <v>551111</v>
      </c>
      <c r="F45" s="18">
        <f t="shared" si="3"/>
        <v>0</v>
      </c>
      <c r="G45" s="232" t="str">
        <f t="shared" si="4"/>
        <v>Пер-л55</v>
      </c>
      <c r="I45" s="10"/>
    </row>
    <row r="46" spans="1:9" hidden="1" x14ac:dyDescent="0.2">
      <c r="A46" s="1" t="s">
        <v>318</v>
      </c>
      <c r="B46" s="86">
        <v>7.9000000000000001E-2</v>
      </c>
      <c r="C46" s="18">
        <f>IF(E2=0,РПВ!CG11,SUMIF(РПВ!F8:F10,E2,РПВ!CG8:CG10))</f>
        <v>0</v>
      </c>
      <c r="D46" s="18">
        <f>IF(E2=0,РПВ!EB11,SUMIF(РПВ!F8:F10,E2,РПВ!EB8:EB10))</f>
        <v>0</v>
      </c>
      <c r="E46" s="91">
        <v>551111</v>
      </c>
      <c r="F46" s="18">
        <f t="shared" si="3"/>
        <v>0</v>
      </c>
      <c r="G46" s="232" t="str">
        <f t="shared" si="4"/>
        <v>Пер-л55</v>
      </c>
      <c r="I46" s="10"/>
    </row>
    <row r="47" spans="1:9" hidden="1" x14ac:dyDescent="0.2">
      <c r="A47" s="1" t="s">
        <v>319</v>
      </c>
      <c r="B47" s="86">
        <v>5.7000000000000002E-2</v>
      </c>
      <c r="C47" s="18">
        <f>IF(E2=0,РПВ!CH11,SUMIF(РПВ!F8:F10,E2,РПВ!CH8:CH10))</f>
        <v>0</v>
      </c>
      <c r="D47" s="18">
        <f>IF(E2=0,РПВ!EC11,SUMIF(РПВ!F8:F10,E2,РПВ!EC8:EC10))</f>
        <v>0</v>
      </c>
      <c r="E47" s="91">
        <v>551111</v>
      </c>
      <c r="F47" s="18">
        <f t="shared" si="3"/>
        <v>0</v>
      </c>
      <c r="G47" s="232" t="str">
        <f t="shared" si="4"/>
        <v>Пер-л55</v>
      </c>
      <c r="I47" s="10"/>
    </row>
    <row r="48" spans="1:9" hidden="1" x14ac:dyDescent="0.2">
      <c r="A48" s="1" t="s">
        <v>320</v>
      </c>
      <c r="B48" s="86">
        <v>9.7000000000000003E-2</v>
      </c>
      <c r="C48" s="18">
        <f>IF(E2=0,РПВ!BY11,SUMIF(РПВ!F8:F10,E2,РПВ!BY8:BY10))</f>
        <v>0</v>
      </c>
      <c r="D48" s="18">
        <f>IF(E2=0,РПВ!EJ11,SUMIF(РПВ!F8:F10,E2,РПВ!EJ8:EJ10))</f>
        <v>0</v>
      </c>
      <c r="E48" s="91">
        <v>551111</v>
      </c>
      <c r="F48" s="18">
        <f t="shared" si="3"/>
        <v>0</v>
      </c>
      <c r="G48" s="232" t="str">
        <f t="shared" si="4"/>
        <v>Пер-л55</v>
      </c>
      <c r="I48" s="10"/>
    </row>
    <row r="49" spans="1:9" hidden="1" x14ac:dyDescent="0.2">
      <c r="A49" s="1" t="s">
        <v>321</v>
      </c>
      <c r="B49" s="86">
        <v>7.4999999999999997E-2</v>
      </c>
      <c r="C49" s="18">
        <f>IF(E2=0,РПВ!BZ11,SUMIF(РПВ!F8:F10,E2,РПВ!BZ8:BZ10))</f>
        <v>0</v>
      </c>
      <c r="D49" s="18">
        <f>IF(E2=0,РПВ!EK11,SUMIF(РПВ!F8:F10,E2,РПВ!EK8:EK10))</f>
        <v>0</v>
      </c>
      <c r="E49" s="91">
        <v>551111</v>
      </c>
      <c r="F49" s="18">
        <f t="shared" si="3"/>
        <v>0</v>
      </c>
      <c r="G49" s="232" t="str">
        <f t="shared" si="4"/>
        <v>Пер-л55</v>
      </c>
      <c r="I49" s="10"/>
    </row>
    <row r="50" spans="1:9" hidden="1" x14ac:dyDescent="0.2">
      <c r="A50" s="1" t="s">
        <v>154</v>
      </c>
      <c r="B50" s="86">
        <v>7.9000000000000001E-2</v>
      </c>
      <c r="C50" s="18">
        <f>IF(E2=0,РПВ!BS11,SUMIF(РПВ!F8:F10,E2,РПВ!BS8:BS10))</f>
        <v>0</v>
      </c>
      <c r="D50" s="18">
        <f>IF(E2=0,РПВ!ED11,SUMIF(РПВ!F8:F10,E2,РПВ!ED8:ED10))</f>
        <v>0</v>
      </c>
      <c r="E50" s="91">
        <v>551111</v>
      </c>
      <c r="F50" s="18">
        <f t="shared" si="3"/>
        <v>0</v>
      </c>
      <c r="G50" s="232" t="str">
        <f t="shared" si="4"/>
        <v>Пер-л55</v>
      </c>
      <c r="I50" s="10"/>
    </row>
    <row r="51" spans="1:9" hidden="1" x14ac:dyDescent="0.2">
      <c r="A51" s="1" t="s">
        <v>155</v>
      </c>
      <c r="B51" s="86">
        <v>5.7000000000000002E-2</v>
      </c>
      <c r="C51" s="18">
        <f>IF(E2=0,РПВ!BT11,SUMIF(РПВ!F8:F10,E2,РПВ!BT8:BT10))</f>
        <v>0</v>
      </c>
      <c r="D51" s="18">
        <f>IF(E2=0,РПВ!EE11,SUMIF(РПВ!F8:F10,E2,РПВ!EE8:EE10))</f>
        <v>0</v>
      </c>
      <c r="E51" s="91">
        <v>551111</v>
      </c>
      <c r="F51" s="18">
        <f t="shared" si="3"/>
        <v>0</v>
      </c>
      <c r="G51" s="232" t="str">
        <f t="shared" si="4"/>
        <v>Пер-л55</v>
      </c>
      <c r="I51" s="10"/>
    </row>
    <row r="52" spans="1:9" hidden="1" x14ac:dyDescent="0.2">
      <c r="A52" s="15" t="s">
        <v>156</v>
      </c>
      <c r="B52" s="86">
        <v>9.7000000000000003E-2</v>
      </c>
      <c r="C52" s="18">
        <f>IF(E2=0,РПВ!BU11,SUMIF(РПВ!F8:F10,E2,РПВ!BU8:BU10))</f>
        <v>0</v>
      </c>
      <c r="D52" s="18">
        <f>IF(E2=0,РПВ!EF11,SUMIF(РПВ!F8:F10,E2,РПВ!EF8:EF10))</f>
        <v>0</v>
      </c>
      <c r="E52" s="91">
        <v>551111</v>
      </c>
      <c r="F52" s="18">
        <f t="shared" si="3"/>
        <v>0</v>
      </c>
      <c r="G52" s="232" t="str">
        <f t="shared" si="4"/>
        <v>Пер-л55</v>
      </c>
      <c r="I52" s="9"/>
    </row>
    <row r="53" spans="1:9" hidden="1" x14ac:dyDescent="0.2">
      <c r="A53" s="1" t="s">
        <v>157</v>
      </c>
      <c r="B53" s="86">
        <v>7.4999999999999997E-2</v>
      </c>
      <c r="C53" s="18">
        <f>IF(E2=0,РПВ!BV11,SUMIF(РПВ!F8:F10,E2,РПВ!BV8:BV10))</f>
        <v>0</v>
      </c>
      <c r="D53" s="18">
        <f>IF(E2=0,РПВ!EG11,SUMIF(РПВ!F8:F10,E2,РПВ!EG8:EG10))</f>
        <v>0</v>
      </c>
      <c r="E53" s="91">
        <v>551111</v>
      </c>
      <c r="F53" s="18">
        <f t="shared" si="3"/>
        <v>0</v>
      </c>
      <c r="G53" s="232" t="str">
        <f t="shared" si="4"/>
        <v>Пер-л55</v>
      </c>
    </row>
    <row r="54" spans="1:9" hidden="1" x14ac:dyDescent="0.2">
      <c r="A54" s="15" t="s">
        <v>160</v>
      </c>
      <c r="B54" s="86">
        <v>9.7000000000000003E-2</v>
      </c>
      <c r="C54" s="18">
        <f>IF(E2=0,РПВ!BW11,SUMIF(РПВ!F8:F10,E2,РПВ!BW8:BW10))</f>
        <v>0</v>
      </c>
      <c r="D54" s="18">
        <f>IF(E2=0,РПВ!EH11,SUMIF(РПВ!F8:F10,E2,РПВ!EH8:EH10))</f>
        <v>0</v>
      </c>
      <c r="E54" s="91">
        <v>551111</v>
      </c>
      <c r="F54" s="18">
        <f t="shared" si="3"/>
        <v>0</v>
      </c>
      <c r="G54" s="232" t="str">
        <f t="shared" si="4"/>
        <v>Пер-л55</v>
      </c>
      <c r="I54" s="9"/>
    </row>
    <row r="55" spans="1:9" hidden="1" x14ac:dyDescent="0.2">
      <c r="A55" s="1" t="s">
        <v>161</v>
      </c>
      <c r="B55" s="86">
        <v>7.4999999999999997E-2</v>
      </c>
      <c r="C55" s="18">
        <f>IF(E2=0,РПВ!BX11,SUMIF(РПВ!F8:F10,E2,РПВ!BX8:BX10))</f>
        <v>0</v>
      </c>
      <c r="D55" s="18">
        <f>IF(E2=0,РПВ!EI11,SUMIF(РПВ!F8:F10,E2,РПВ!EI8:EI10))</f>
        <v>0</v>
      </c>
      <c r="E55" s="91">
        <v>551111</v>
      </c>
      <c r="F55" s="18">
        <f t="shared" si="3"/>
        <v>0</v>
      </c>
      <c r="G55" s="232" t="str">
        <f t="shared" si="4"/>
        <v>Пер-л58</v>
      </c>
    </row>
    <row r="56" spans="1:9" hidden="1" x14ac:dyDescent="0.2">
      <c r="A56" s="208" t="s">
        <v>443</v>
      </c>
      <c r="B56" s="86">
        <v>7.9000000000000001E-2</v>
      </c>
      <c r="C56" s="18">
        <f>IF(E2=0,РПВ!CA11,SUMIF(РПВ!F8:F10,E2,РПВ!CA8:CA10))</f>
        <v>0</v>
      </c>
      <c r="D56" s="18">
        <f>IF(E2=0,РПВ!EL11,SUMIF(РПВ!F8:F10,E2,РПВ!EL8:EL10))</f>
        <v>0</v>
      </c>
      <c r="E56" s="91">
        <v>551111</v>
      </c>
      <c r="F56" s="18">
        <f t="shared" si="3"/>
        <v>0</v>
      </c>
      <c r="G56" s="232" t="str">
        <f t="shared" si="4"/>
        <v>Пер-л58</v>
      </c>
    </row>
    <row r="57" spans="1:9" hidden="1" x14ac:dyDescent="0.2">
      <c r="A57" s="182" t="s">
        <v>444</v>
      </c>
      <c r="B57" s="86">
        <v>5.7000000000000002E-2</v>
      </c>
      <c r="C57" s="18">
        <f>IF(E2=0,РПВ!CB11,SUMIF(РПВ!F8:F10,E2,РПВ!CB8:CB10))</f>
        <v>0</v>
      </c>
      <c r="D57" s="18">
        <f>IF(E2=0,РПВ!EM11,SUMIF(РПВ!F8:F10,E2,РПВ!EM8:EM10))</f>
        <v>0</v>
      </c>
      <c r="E57" s="91">
        <v>551111</v>
      </c>
      <c r="F57" s="18">
        <f t="shared" si="3"/>
        <v>0</v>
      </c>
      <c r="G57" s="232" t="str">
        <f>CONCATENATE("СОЛ",MID(E60,1,2))</f>
        <v>СОЛ55</v>
      </c>
    </row>
    <row r="58" spans="1:9" hidden="1" x14ac:dyDescent="0.2">
      <c r="A58" s="1" t="s">
        <v>326</v>
      </c>
      <c r="B58" s="86">
        <v>2.1999999999999999E-2</v>
      </c>
      <c r="C58" s="18">
        <f>C26</f>
        <v>0</v>
      </c>
      <c r="D58" s="18">
        <f>IF(E2=0,РПВ!EN11,SUMIF(РПВ!F8:F10,E2,РПВ!EN8:EN10))</f>
        <v>0</v>
      </c>
      <c r="E58" s="91">
        <v>581111</v>
      </c>
      <c r="F58" s="18">
        <f t="shared" si="3"/>
        <v>0</v>
      </c>
      <c r="G58" s="232" t="str">
        <f t="shared" ref="G58:G65" si="5">CONCATENATE("СОЛ",MID(E61,1,2))</f>
        <v>СОЛ55</v>
      </c>
    </row>
    <row r="59" spans="1:9" hidden="1" x14ac:dyDescent="0.2">
      <c r="A59" s="1" t="s">
        <v>334</v>
      </c>
      <c r="B59" s="86">
        <v>2.1999999999999999E-2</v>
      </c>
      <c r="C59" s="18">
        <f>C27</f>
        <v>0</v>
      </c>
      <c r="D59" s="18">
        <f>IF(E2=0,РПВ!EO11,SUMIF(РПВ!F8:F10,E2,РПВ!EO8:EO10))</f>
        <v>0</v>
      </c>
      <c r="E59" s="91">
        <v>581111</v>
      </c>
      <c r="F59" s="18">
        <f t="shared" si="3"/>
        <v>0</v>
      </c>
      <c r="G59" s="232" t="str">
        <f t="shared" si="5"/>
        <v>СОЛ55</v>
      </c>
    </row>
    <row r="60" spans="1:9" hidden="1" x14ac:dyDescent="0.2">
      <c r="A60" s="1" t="s">
        <v>88</v>
      </c>
      <c r="B60" s="86">
        <v>0.21299999999999999</v>
      </c>
      <c r="C60" s="18">
        <f>IF(E2=0,РПВ!BI11,SUMIF(РПВ!F8:F10,E2,РПВ!BI8:BI10))</f>
        <v>0</v>
      </c>
      <c r="D60" s="18">
        <f>IF(E2=0,РПВ!EP11,SUMIF(РПВ!F8:F10,E2,РПВ!EP8:EP10))</f>
        <v>0</v>
      </c>
      <c r="E60" s="91">
        <v>551111</v>
      </c>
      <c r="F60" s="18">
        <f t="shared" si="3"/>
        <v>0</v>
      </c>
      <c r="G60" s="232" t="str">
        <f t="shared" si="5"/>
        <v>СОЛ55</v>
      </c>
    </row>
    <row r="61" spans="1:9" hidden="1" x14ac:dyDescent="0.2">
      <c r="A61" s="1" t="s">
        <v>85</v>
      </c>
      <c r="B61" s="86">
        <v>0.16300000000000001</v>
      </c>
      <c r="C61" s="18">
        <f>IF(E2=0,РПВ!BJ11,SUMIF(РПВ!F8:F10,E2,РПВ!BJ8:BJ10))</f>
        <v>0</v>
      </c>
      <c r="D61" s="18">
        <f>IF(E2=0,РПВ!EQ11,SUMIF(РПВ!F8:F10,E2,РПВ!EQ8:EQ10))</f>
        <v>0</v>
      </c>
      <c r="E61" s="91">
        <v>551111</v>
      </c>
      <c r="F61" s="18">
        <f t="shared" si="3"/>
        <v>0</v>
      </c>
      <c r="G61" s="232" t="str">
        <f t="shared" si="5"/>
        <v>СОЛ55</v>
      </c>
    </row>
    <row r="62" spans="1:9" hidden="1" x14ac:dyDescent="0.2">
      <c r="A62" s="1" t="s">
        <v>493</v>
      </c>
      <c r="B62" s="86">
        <v>0.21299999999999999</v>
      </c>
      <c r="C62" s="18">
        <f>IF(E2=0,РПВ!BK3,SUMIF(РПВ!F8:F10,E2,РПВ!BK8:BK10))</f>
        <v>0</v>
      </c>
      <c r="D62" s="18">
        <f>IF(E2=0,РПВ!ER11,SUMIF(РПВ!F8:F10,E2,РПВ!ER8:ER10))</f>
        <v>0</v>
      </c>
      <c r="E62" s="91">
        <v>551111</v>
      </c>
      <c r="F62" s="18">
        <f t="shared" si="3"/>
        <v>0</v>
      </c>
      <c r="G62" s="232" t="str">
        <f t="shared" si="5"/>
        <v>СОЛ55</v>
      </c>
    </row>
    <row r="63" spans="1:9" hidden="1" x14ac:dyDescent="0.2">
      <c r="A63" s="1" t="s">
        <v>494</v>
      </c>
      <c r="B63" s="86">
        <v>0.16300000000000001</v>
      </c>
      <c r="C63" s="18">
        <f>IF(E2=0,РПВ!BL11,SUMIF(РПВ!F8:F10,E2,РПВ!BL8:BL10))</f>
        <v>0</v>
      </c>
      <c r="D63" s="18">
        <f>IF(E2=0,РПВ!ES11,SUMIF(РПВ!F8:F10,E2,РПВ!ES8:ES10))</f>
        <v>0</v>
      </c>
      <c r="E63" s="91">
        <v>551111</v>
      </c>
      <c r="F63" s="18">
        <f t="shared" si="3"/>
        <v>0</v>
      </c>
      <c r="G63" s="232" t="str">
        <f t="shared" si="5"/>
        <v>СОЛ55</v>
      </c>
    </row>
    <row r="64" spans="1:9" hidden="1" x14ac:dyDescent="0.2">
      <c r="A64" s="1" t="s">
        <v>87</v>
      </c>
      <c r="B64" s="86">
        <v>0.17799999999999999</v>
      </c>
      <c r="C64" s="18">
        <f>IF(E2=0,РПВ!BM11,SUMIF(РПВ!F8:F10,E2,РПВ!BM8:BM10))</f>
        <v>0</v>
      </c>
      <c r="D64" s="18">
        <f>IF(E2=0,РПВ!ET11,SUMIF(РПВ!F8:F10,E2,РПВ!ET8:ET10))</f>
        <v>0</v>
      </c>
      <c r="E64" s="91">
        <v>551111</v>
      </c>
      <c r="F64" s="18">
        <f t="shared" si="3"/>
        <v>0</v>
      </c>
      <c r="G64" s="232" t="str">
        <f t="shared" si="5"/>
        <v>СОЛ55</v>
      </c>
    </row>
    <row r="65" spans="1:8" hidden="1" x14ac:dyDescent="0.2">
      <c r="A65" s="1" t="s">
        <v>86</v>
      </c>
      <c r="B65" s="86">
        <v>0.128</v>
      </c>
      <c r="C65" s="18">
        <f>IF(E2=0,РПВ!BN11,SUMIF(РПВ!F8:F10,E2,РПВ!BN8:BN10))</f>
        <v>0</v>
      </c>
      <c r="D65" s="18">
        <f>IF(E2=0,РПВ!EU11,SUMIF(РПВ!F8:F10,E2,РПВ!EU8:EU10))</f>
        <v>0</v>
      </c>
      <c r="E65" s="91">
        <v>551111</v>
      </c>
      <c r="F65" s="18">
        <f t="shared" si="3"/>
        <v>0</v>
      </c>
      <c r="G65" s="232" t="str">
        <f t="shared" si="5"/>
        <v>СОЛ58</v>
      </c>
    </row>
    <row r="66" spans="1:8" hidden="1" x14ac:dyDescent="0.2">
      <c r="A66" s="1" t="s">
        <v>495</v>
      </c>
      <c r="B66" s="86">
        <v>0.17799999999999999</v>
      </c>
      <c r="C66" s="18">
        <f>IF(E2=0,РПВ!BO11,SUMIF(РПВ!F8:F10,E2,РПВ!BO8:BO10))</f>
        <v>0</v>
      </c>
      <c r="D66" s="18">
        <f>IF(E2=0,РПВ!EV11,SUMIF(РПВ!F8:F10,E2,РПВ!EV8:EV10))</f>
        <v>0</v>
      </c>
      <c r="E66" s="91">
        <v>551111</v>
      </c>
      <c r="F66" s="18">
        <f>D69</f>
        <v>0</v>
      </c>
      <c r="G66" s="232" t="str">
        <f>CONCATENATE("Пер-л",MID(E69,1,2))</f>
        <v>Пер-л56</v>
      </c>
    </row>
    <row r="67" spans="1:8" hidden="1" x14ac:dyDescent="0.2">
      <c r="A67" s="1" t="s">
        <v>496</v>
      </c>
      <c r="B67" s="86">
        <v>0.128</v>
      </c>
      <c r="C67" s="18">
        <f>IF(E2=0,РПВ!BP11,SUMIF(РПВ!F8:F10,E2,РПВ!BP8:BP10))</f>
        <v>0</v>
      </c>
      <c r="D67" s="18">
        <f>IF(E2=0,РПВ!EW11,SUMIF(РПВ!F8:F10,E2,РПВ!EW8:EW10))</f>
        <v>0</v>
      </c>
      <c r="E67" s="91">
        <v>551111</v>
      </c>
      <c r="F67" s="18">
        <f>D70</f>
        <v>0</v>
      </c>
      <c r="G67" s="232" t="str">
        <f>CONCATENATE("Пер-л",MID(E70,1,2))</f>
        <v>Пер-л56</v>
      </c>
    </row>
    <row r="68" spans="1:8" hidden="1" x14ac:dyDescent="0.2">
      <c r="A68" s="1" t="s">
        <v>327</v>
      </c>
      <c r="B68" s="86">
        <v>0.05</v>
      </c>
      <c r="C68" s="18">
        <f>IF(E2=0,РПВ!BJ11+РПВ!BN11+РПВ!BL11+РПВ!BP11,SUMIF(РПВ!F8:F10,E2,РПВ!BJ8:BJ10)+SUMIF(РПВ!F8:F10,E2,РПВ!BN8:BN10)+SUMIF(РПВ!F8:F10,E2,РПВ!BL8:BL10)+SUMIF(РПВ!F8:F10,E2,РПВ!BP8:BP10))</f>
        <v>0</v>
      </c>
      <c r="D68" s="18">
        <f>IF(E2=0,РПВ!EX11,SUMIF(РПВ!F8:F10,E2,РПВ!EX8:EX10))</f>
        <v>0</v>
      </c>
      <c r="E68" s="91">
        <v>581111</v>
      </c>
      <c r="F68" s="18">
        <f t="shared" si="3"/>
        <v>0</v>
      </c>
      <c r="G68" s="232" t="str">
        <f>CONCATENATE("Пер-л",MID(E71,1,2))</f>
        <v>Пер-л56</v>
      </c>
    </row>
    <row r="69" spans="1:8" hidden="1" x14ac:dyDescent="0.2">
      <c r="A69" s="1" t="s">
        <v>79</v>
      </c>
      <c r="B69" s="86">
        <v>3.2000000000000001E-2</v>
      </c>
      <c r="C69" s="18">
        <f>C30</f>
        <v>0</v>
      </c>
      <c r="D69" s="18">
        <f>IF(E2=0,РПВ!EY11,SUMIF(РПВ!F8:F10,E2,РПВ!EY8:EY10))</f>
        <v>0</v>
      </c>
      <c r="E69" s="91">
        <v>561111</v>
      </c>
      <c r="F69" s="18">
        <f t="shared" si="3"/>
        <v>0</v>
      </c>
      <c r="G69" s="232" t="str">
        <f>CONCATENATE("СОЛ",MID(E72,1,2))</f>
        <v>СОЛ56</v>
      </c>
    </row>
    <row r="70" spans="1:8" hidden="1" x14ac:dyDescent="0.2">
      <c r="A70" s="1" t="s">
        <v>335</v>
      </c>
      <c r="B70" s="86">
        <v>3.2000000000000001E-2</v>
      </c>
      <c r="C70" s="18">
        <f>C31</f>
        <v>0</v>
      </c>
      <c r="D70" s="18">
        <f>IF(E2=0,РПВ!EZ11,SUMIF(РПВ!F8:F10,E2,РПВ!EZ8:EZ10))</f>
        <v>0</v>
      </c>
      <c r="E70" s="91">
        <v>561111</v>
      </c>
      <c r="F70" s="18">
        <f t="shared" si="3"/>
        <v>0</v>
      </c>
      <c r="G70" s="232" t="str">
        <f>CONCATENATE("СОЛ",MID(E73,1,2))</f>
        <v>СОЛ56</v>
      </c>
    </row>
    <row r="71" spans="1:8" hidden="1" x14ac:dyDescent="0.2">
      <c r="A71" s="87" t="s">
        <v>305</v>
      </c>
      <c r="B71" s="86">
        <v>0.08</v>
      </c>
      <c r="C71" s="18">
        <f>IF(E2=0,РПВ!BH11,SUMIF(РПВ!F8:F10,E2,РПВ!BH8:BH10))</f>
        <v>0</v>
      </c>
      <c r="D71" s="18">
        <f>IF(E2=0,РПВ!DQ11,SUMIF(РПВ!F8:F10,E2,РПВ!DQ8:DQ10))</f>
        <v>0</v>
      </c>
      <c r="E71" s="91">
        <v>561111</v>
      </c>
      <c r="F71" s="18">
        <f t="shared" si="3"/>
        <v>0</v>
      </c>
      <c r="G71" s="232" t="str">
        <f>CONCATENATE("Пер-л",MID(E74,1,2))</f>
        <v>Пер-л11</v>
      </c>
    </row>
    <row r="72" spans="1:8" hidden="1" x14ac:dyDescent="0.2">
      <c r="A72" s="1" t="s">
        <v>89</v>
      </c>
      <c r="B72" s="86">
        <v>0.08</v>
      </c>
      <c r="C72" s="18">
        <f>IF(E2=0,SUM(РПВ!BI11:BQ11),SUMIF(РПВ!F8:F10,E2,РПВ!BI8:BI10)+SUMIF(РПВ!F8:F10,E2,РПВ!BJ8:BJ10)+SUMIF(РПВ!F8:F10,E2,РПВ!BK8:BK10)+SUMIF(РПВ!F8:F10,E2,РПВ!BL8:BL10)+SUMIF(РПВ!F8:F10,E2,РПВ!BM8:BM10)+SUMIF(РПВ!F8:F10,E2,РПВ!BN8:BN10)+SUMIF(РПВ!F8:F10,E2,РПВ!BO8:BO10)+SUMIF(РПВ!F8:F10,E2,РПВ!BP8:BP10)+SUMIF(РПВ!F8:F10,E2,РПВ!BQ8:BQ10))</f>
        <v>0</v>
      </c>
      <c r="D72" s="18">
        <f>IF(E2=0,РПВ!FA11,SUMIF(РПВ!F8:F10,E2,РПВ!FA8:FA10))</f>
        <v>0</v>
      </c>
      <c r="E72" s="91">
        <v>561111</v>
      </c>
      <c r="F72" s="18"/>
    </row>
    <row r="73" spans="1:8" hidden="1" x14ac:dyDescent="0.2">
      <c r="A73" s="1" t="s">
        <v>90</v>
      </c>
      <c r="B73" s="86">
        <v>4.8000000000000001E-2</v>
      </c>
      <c r="C73" s="18">
        <f>IF(E2=0,РПВ!BR11,SUMIF(РПВ!F8:F10,E2,РПВ!BR8:BR10))</f>
        <v>0</v>
      </c>
      <c r="D73" s="18">
        <f>IF(E2=0,РПВ!FB11,SUMIF(РПВ!F8:F10,E2,РПВ!FB8:FB10))</f>
        <v>0</v>
      </c>
      <c r="E73" s="91">
        <v>561111</v>
      </c>
    </row>
    <row r="74" spans="1:8" hidden="1" x14ac:dyDescent="0.2">
      <c r="A74" s="87" t="s">
        <v>217</v>
      </c>
      <c r="B74" s="10">
        <f>dod</f>
        <v>0.1</v>
      </c>
      <c r="C74" s="18">
        <f>IF(E2=0,РПВ!AJ11,SUMIF(РПВ!F8:F10,E2,РПВ!AJ8:AJ10))</f>
        <v>0</v>
      </c>
      <c r="D74" s="18">
        <f>IF(E2=0,РПВ!AK11,SUMIF(РПВ!F8:F10,E2,РПВ!AK8:AK10))</f>
        <v>0</v>
      </c>
      <c r="E74" s="91">
        <v>110000</v>
      </c>
    </row>
    <row r="75" spans="1:8" ht="13.5" thickBot="1" x14ac:dyDescent="0.25">
      <c r="B75" s="474" t="s">
        <v>18</v>
      </c>
      <c r="C75" s="474"/>
      <c r="D75" s="19">
        <f>SUM(D38:D74)</f>
        <v>0</v>
      </c>
    </row>
    <row r="76" spans="1:8" ht="13.5" thickTop="1" x14ac:dyDescent="0.2">
      <c r="B76" s="10"/>
    </row>
    <row r="77" spans="1:8" x14ac:dyDescent="0.2">
      <c r="A77" s="226" t="s">
        <v>348</v>
      </c>
      <c r="B77" s="227"/>
      <c r="C77" s="145" t="s">
        <v>349</v>
      </c>
      <c r="D77" s="228"/>
      <c r="F77" s="12"/>
      <c r="G77" s="12"/>
    </row>
    <row r="78" spans="1:8" x14ac:dyDescent="0.2">
      <c r="F78" s="12"/>
      <c r="G78" s="12"/>
    </row>
    <row r="79" spans="1:8" s="12" customFormat="1" x14ac:dyDescent="0.2">
      <c r="A79" s="21"/>
      <c r="B79" s="22"/>
      <c r="C79" s="22"/>
      <c r="D79" s="22"/>
      <c r="F79"/>
      <c r="G79"/>
      <c r="H79" s="219"/>
    </row>
  </sheetData>
  <sheetProtection selectLockedCells="1"/>
  <mergeCells count="3">
    <mergeCell ref="A1:D1"/>
    <mergeCell ref="B35:C35"/>
    <mergeCell ref="B75:C75"/>
  </mergeCells>
  <phoneticPr fontId="0" type="noConversion"/>
  <pageMargins left="0.74803149606299213" right="0.74803149606299213" top="0.96" bottom="0.47244094488188981" header="0.39370078740157483" footer="0.55118110236220474"/>
  <pageSetup paperSize="9" scale="91" orientation="portrait" horizontalDpi="240" verticalDpi="144" r:id="rId1"/>
  <headerFooter alignWithMargins="0">
    <oddHeader>&amp;C&amp;B&amp;16 Рекапитулация
&amp;B&amp;I&amp;16 на Проба ЕООД с Булстат: 987654322
за месец януари 2014 год.</oddHeader>
    <oddFooter>&amp;L&amp;10&amp;B Генерирано чрез TROX РПВ
 вер.2014,08 | www.trox-bg.com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58" r:id="rId4" name="Button 38">
              <controlPr defaultSize="0" print="0" autoFill="0" autoPict="0" macro="[0]!Pylna_rekapitulaciq">
                <anchor>
                  <from>
                    <xdr:col>9</xdr:col>
                    <xdr:colOff>38100</xdr:colOff>
                    <xdr:row>0</xdr:row>
                    <xdr:rowOff>190500</xdr:rowOff>
                  </from>
                  <to>
                    <xdr:col>10</xdr:col>
                    <xdr:colOff>485775</xdr:colOff>
                    <xdr:row>2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H25"/>
  <sheetViews>
    <sheetView workbookViewId="0">
      <selection activeCell="A2" sqref="A2"/>
    </sheetView>
  </sheetViews>
  <sheetFormatPr defaultRowHeight="16.5" customHeight="1" x14ac:dyDescent="0.2"/>
  <cols>
    <col min="1" max="1" width="3.7109375" style="295" customWidth="1"/>
    <col min="2" max="2" width="31" style="295" customWidth="1"/>
    <col min="3" max="3" width="13.5703125" style="297" customWidth="1"/>
    <col min="4" max="8" width="8.140625" style="298" customWidth="1"/>
    <col min="9" max="16384" width="9.140625" style="295"/>
  </cols>
  <sheetData>
    <row r="1" spans="1:8" ht="16.5" customHeight="1" x14ac:dyDescent="0.25">
      <c r="A1" s="475" t="s">
        <v>613</v>
      </c>
      <c r="B1" s="475"/>
      <c r="C1" s="475"/>
      <c r="D1" s="475"/>
      <c r="E1" s="475"/>
      <c r="F1" s="475"/>
      <c r="G1" s="475"/>
      <c r="H1" s="475"/>
    </row>
    <row r="3" spans="1:8" ht="16.5" customHeight="1" x14ac:dyDescent="0.2">
      <c r="A3" s="295" t="s">
        <v>102</v>
      </c>
      <c r="B3" s="296" t="str">
        <f>firma</f>
        <v>Проба ЕООД</v>
      </c>
    </row>
    <row r="4" spans="1:8" ht="16.5" customHeight="1" x14ac:dyDescent="0.2">
      <c r="A4" s="295" t="s">
        <v>545</v>
      </c>
      <c r="B4" s="296" t="str">
        <f>CONCATENATE(РПВ!AN2,".",РПВ!AO2)</f>
        <v>януари.2014</v>
      </c>
    </row>
    <row r="6" spans="1:8" s="416" customFormat="1" ht="30.75" customHeight="1" x14ac:dyDescent="0.3">
      <c r="A6" s="412" t="s">
        <v>0</v>
      </c>
      <c r="B6" s="413" t="s">
        <v>546</v>
      </c>
      <c r="C6" s="413" t="s">
        <v>547</v>
      </c>
      <c r="D6" s="414" t="s">
        <v>605</v>
      </c>
      <c r="E6" s="414" t="s">
        <v>606</v>
      </c>
      <c r="F6" s="414" t="s">
        <v>607</v>
      </c>
      <c r="G6" s="414" t="s">
        <v>549</v>
      </c>
      <c r="H6" s="415" t="s">
        <v>548</v>
      </c>
    </row>
    <row r="7" spans="1:8" s="411" customFormat="1" ht="16.5" customHeight="1" x14ac:dyDescent="0.25">
      <c r="A7" s="409">
        <v>1</v>
      </c>
      <c r="B7" s="409" t="str">
        <f>B3</f>
        <v>Проба ЕООД</v>
      </c>
      <c r="C7" s="417" t="str">
        <f>bulstata</f>
        <v>987654322</v>
      </c>
      <c r="D7" s="418">
        <f>SUMIF(Рекапитулация!G4:G71,"Пер-л11",Рекапитулация!F4:F71)</f>
        <v>0</v>
      </c>
      <c r="E7" s="418">
        <f>SUMIF(Рекапитулация!G4:G71,"Пер-л55",Рекапитулация!F4:F71)</f>
        <v>0</v>
      </c>
      <c r="F7" s="418">
        <f>SUMIF(Рекапитулация!G4:G71,"Пер-л56",Рекапитулация!F4:F71)</f>
        <v>0</v>
      </c>
      <c r="G7" s="418">
        <f>SUMIF(Рекапитулация!G4:G71,"Пер-л58",Рекапитулация!F4:F71)</f>
        <v>0</v>
      </c>
      <c r="H7" s="418">
        <f>D7+E7+F7+G7</f>
        <v>0</v>
      </c>
    </row>
    <row r="8" spans="1:8" s="411" customFormat="1" ht="16.5" customHeight="1" x14ac:dyDescent="0.25">
      <c r="A8" s="410"/>
      <c r="B8" s="410"/>
      <c r="C8" s="419"/>
      <c r="D8" s="420"/>
      <c r="E8" s="420"/>
      <c r="F8" s="420"/>
      <c r="G8" s="420"/>
      <c r="H8" s="420"/>
    </row>
    <row r="9" spans="1:8" s="411" customFormat="1" ht="16.5" customHeight="1" x14ac:dyDescent="0.25">
      <c r="A9" s="410"/>
      <c r="B9" s="410"/>
      <c r="C9" s="419"/>
      <c r="D9" s="420"/>
      <c r="E9" s="420"/>
      <c r="F9" s="420"/>
      <c r="G9" s="420"/>
      <c r="H9" s="420"/>
    </row>
    <row r="10" spans="1:8" ht="16.5" customHeight="1" x14ac:dyDescent="0.25">
      <c r="A10" s="299"/>
      <c r="B10" s="410"/>
      <c r="C10" s="300"/>
      <c r="D10" s="301"/>
      <c r="E10" s="301"/>
      <c r="F10" s="301"/>
      <c r="G10" s="301"/>
      <c r="H10" s="301"/>
    </row>
    <row r="11" spans="1:8" ht="16.5" customHeight="1" x14ac:dyDescent="0.25">
      <c r="A11" s="299"/>
      <c r="B11" s="410"/>
      <c r="C11" s="300"/>
      <c r="D11" s="301"/>
      <c r="E11" s="301"/>
      <c r="F11" s="301"/>
      <c r="G11" s="301"/>
      <c r="H11" s="301"/>
    </row>
    <row r="12" spans="1:8" ht="16.5" customHeight="1" x14ac:dyDescent="0.25">
      <c r="B12" s="411"/>
    </row>
    <row r="13" spans="1:8" ht="16.5" customHeight="1" x14ac:dyDescent="0.25">
      <c r="B13" s="411"/>
    </row>
    <row r="14" spans="1:8" ht="16.5" customHeight="1" x14ac:dyDescent="0.25">
      <c r="B14" s="411"/>
    </row>
    <row r="15" spans="1:8" ht="16.5" customHeight="1" x14ac:dyDescent="0.25">
      <c r="B15" s="411"/>
    </row>
    <row r="16" spans="1:8" ht="16.5" customHeight="1" x14ac:dyDescent="0.25">
      <c r="B16" s="411"/>
    </row>
    <row r="17" spans="2:2" ht="16.5" customHeight="1" x14ac:dyDescent="0.25">
      <c r="B17" s="411"/>
    </row>
    <row r="18" spans="2:2" ht="16.5" customHeight="1" x14ac:dyDescent="0.25">
      <c r="B18" s="411"/>
    </row>
    <row r="19" spans="2:2" ht="16.5" customHeight="1" x14ac:dyDescent="0.25">
      <c r="B19" s="411"/>
    </row>
    <row r="20" spans="2:2" ht="16.5" customHeight="1" x14ac:dyDescent="0.25">
      <c r="B20" s="411"/>
    </row>
    <row r="21" spans="2:2" ht="16.5" customHeight="1" x14ac:dyDescent="0.25">
      <c r="B21" s="411"/>
    </row>
    <row r="22" spans="2:2" ht="16.5" customHeight="1" x14ac:dyDescent="0.25">
      <c r="B22" s="411"/>
    </row>
    <row r="23" spans="2:2" ht="16.5" customHeight="1" x14ac:dyDescent="0.25">
      <c r="B23" s="411"/>
    </row>
    <row r="24" spans="2:2" ht="16.5" customHeight="1" x14ac:dyDescent="0.25">
      <c r="B24" s="411"/>
    </row>
    <row r="25" spans="2:2" ht="16.5" customHeight="1" x14ac:dyDescent="0.25">
      <c r="B25" s="411"/>
    </row>
  </sheetData>
  <mergeCells count="1">
    <mergeCell ref="A1:H1"/>
  </mergeCells>
  <pageMargins left="0.70866141732283472" right="0.70866141732283472" top="0.74803149606299213" bottom="0.74803149606299213" header="0.31496062992125984" footer="0.31496062992125984"/>
  <pageSetup paperSize="9" orientation="portrait" verticalDpi="0" r:id="rId1"/>
  <headerFooter>
    <oddFooter>&amp;L&amp;10&amp;B Генерирано чрез TROX РПВ
 вер.2014,08 | www.trox-bg.com</oddFooter>
  </headerFooter>
  <ignoredErrors>
    <ignoredError sqref="D6:G6" numberStoredAsText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pageSetUpPr fitToPage="1"/>
  </sheetPr>
  <dimension ref="A1:P30"/>
  <sheetViews>
    <sheetView showGridLines="0" zoomScale="97" zoomScaleNormal="97" workbookViewId="0">
      <selection activeCell="C26" sqref="C26"/>
    </sheetView>
  </sheetViews>
  <sheetFormatPr defaultColWidth="11.42578125" defaultRowHeight="12.75" x14ac:dyDescent="0.2"/>
  <cols>
    <col min="1" max="1" width="11.85546875" customWidth="1"/>
    <col min="2" max="2" width="11.42578125" customWidth="1"/>
    <col min="3" max="3" width="20" customWidth="1"/>
    <col min="4" max="4" width="20.28515625" customWidth="1"/>
    <col min="5" max="6" width="10" customWidth="1"/>
    <col min="7" max="7" width="0.5703125" customWidth="1"/>
    <col min="8" max="9" width="10" customWidth="1"/>
    <col min="10" max="10" width="0.42578125" customWidth="1"/>
    <col min="11" max="12" width="10" customWidth="1"/>
    <col min="13" max="13" width="0.42578125" customWidth="1"/>
    <col min="14" max="16" width="10" customWidth="1"/>
  </cols>
  <sheetData>
    <row r="1" spans="1:15" ht="12.75" customHeight="1" x14ac:dyDescent="0.2">
      <c r="A1" s="498" t="s">
        <v>553</v>
      </c>
      <c r="B1" s="499"/>
      <c r="C1" s="499"/>
      <c r="D1" s="499"/>
      <c r="E1" s="500"/>
      <c r="H1" s="507" t="s">
        <v>244</v>
      </c>
      <c r="I1" s="507"/>
      <c r="J1" s="507"/>
      <c r="K1" s="507"/>
    </row>
    <row r="2" spans="1:15" ht="12.75" customHeight="1" x14ac:dyDescent="0.2">
      <c r="A2" s="501"/>
      <c r="B2" s="502"/>
      <c r="C2" s="502"/>
      <c r="D2" s="502"/>
      <c r="E2" s="503"/>
      <c r="H2" s="507"/>
      <c r="I2" s="507"/>
      <c r="J2" s="507"/>
      <c r="K2" s="507"/>
      <c r="L2" s="159"/>
      <c r="N2" s="484" t="str">
        <f>IF(H3="","Въведете Булстат/ЕГН",IF(($L$2+$L$3+$L$4)&lt;&gt;0,"",IF(L2=FALSE,"Грешен Булстат/ЕГН","")))</f>
        <v/>
      </c>
      <c r="O2" s="484"/>
    </row>
    <row r="3" spans="1:15" x14ac:dyDescent="0.2">
      <c r="A3" s="501"/>
      <c r="B3" s="502"/>
      <c r="C3" s="502"/>
      <c r="D3" s="502"/>
      <c r="E3" s="503"/>
      <c r="H3" s="485" t="str">
        <f>РПВ!E16</f>
        <v>987654322</v>
      </c>
      <c r="I3" s="486">
        <v>812032483</v>
      </c>
      <c r="J3" s="486">
        <v>812032483</v>
      </c>
      <c r="K3" s="487">
        <v>812032483</v>
      </c>
      <c r="L3" s="159" t="b">
        <f>IF(H3="","",bulstat(H3))</f>
        <v>1</v>
      </c>
      <c r="N3" s="484"/>
      <c r="O3" s="484"/>
    </row>
    <row r="4" spans="1:15" x14ac:dyDescent="0.2">
      <c r="A4" s="504"/>
      <c r="B4" s="505"/>
      <c r="C4" s="505"/>
      <c r="D4" s="505"/>
      <c r="E4" s="506"/>
      <c r="F4" s="149"/>
      <c r="G4" s="149"/>
      <c r="H4" s="488">
        <v>812032483</v>
      </c>
      <c r="I4" s="489">
        <v>812032483</v>
      </c>
      <c r="J4" s="489">
        <v>812032483</v>
      </c>
      <c r="K4" s="490">
        <v>812032483</v>
      </c>
      <c r="L4" s="159" t="b">
        <f>IF(H3="","",egnnt(H3))</f>
        <v>0</v>
      </c>
      <c r="N4" s="484"/>
      <c r="O4" s="484"/>
    </row>
    <row r="6" spans="1:15" ht="15.75" customHeight="1" x14ac:dyDescent="0.25">
      <c r="A6" s="491" t="s">
        <v>243</v>
      </c>
      <c r="B6" s="491"/>
      <c r="C6" s="491"/>
      <c r="D6" s="495" t="str">
        <f>РПВ!L2</f>
        <v>Проба ЕООД</v>
      </c>
      <c r="E6" s="496" t="s">
        <v>502</v>
      </c>
      <c r="F6" s="496" t="s">
        <v>502</v>
      </c>
      <c r="G6" s="496" t="s">
        <v>502</v>
      </c>
      <c r="H6" s="497" t="s">
        <v>502</v>
      </c>
      <c r="I6" s="492" t="s">
        <v>247</v>
      </c>
      <c r="J6" s="493"/>
      <c r="K6" s="493"/>
      <c r="L6" s="494"/>
      <c r="M6" s="508">
        <v>0</v>
      </c>
      <c r="N6" s="509">
        <v>0</v>
      </c>
    </row>
    <row r="7" spans="1:15" x14ac:dyDescent="0.2">
      <c r="I7" s="151"/>
      <c r="J7" s="151"/>
      <c r="K7" s="151"/>
    </row>
    <row r="8" spans="1:15" ht="15.75" x14ac:dyDescent="0.25">
      <c r="A8" s="150" t="s">
        <v>186</v>
      </c>
      <c r="B8" s="495"/>
      <c r="C8" s="497"/>
      <c r="D8" s="150" t="s">
        <v>187</v>
      </c>
      <c r="E8" s="510"/>
      <c r="F8" s="511"/>
      <c r="G8" s="511"/>
      <c r="H8" s="512"/>
      <c r="I8" s="150" t="s">
        <v>188</v>
      </c>
      <c r="J8" s="150"/>
      <c r="K8" s="510"/>
      <c r="L8" s="511"/>
      <c r="M8" s="511"/>
      <c r="N8" s="512"/>
    </row>
    <row r="10" spans="1:15" ht="25.5" customHeight="1" x14ac:dyDescent="0.2">
      <c r="A10" s="482" t="s">
        <v>544</v>
      </c>
      <c r="B10" s="483"/>
      <c r="C10" s="483"/>
      <c r="D10" s="483"/>
      <c r="E10" s="148" t="s">
        <v>248</v>
      </c>
      <c r="F10" s="148" t="s">
        <v>252</v>
      </c>
      <c r="G10" s="148"/>
      <c r="H10" s="148" t="s">
        <v>249</v>
      </c>
      <c r="I10" s="148" t="s">
        <v>253</v>
      </c>
      <c r="J10" s="148"/>
      <c r="K10" s="148" t="s">
        <v>250</v>
      </c>
      <c r="L10" s="148" t="s">
        <v>254</v>
      </c>
      <c r="M10" s="148"/>
      <c r="N10" s="148" t="s">
        <v>251</v>
      </c>
      <c r="O10" s="148" t="s">
        <v>255</v>
      </c>
    </row>
    <row r="11" spans="1:15" x14ac:dyDescent="0.2">
      <c r="E11" s="154"/>
      <c r="F11" s="154"/>
      <c r="G11" s="154"/>
      <c r="H11" s="154"/>
      <c r="I11" s="154"/>
      <c r="J11" s="154"/>
      <c r="K11" s="225"/>
      <c r="L11" s="154"/>
      <c r="M11" s="154"/>
      <c r="N11" s="225"/>
      <c r="O11" s="154"/>
    </row>
    <row r="12" spans="1:15" ht="4.5" customHeight="1" x14ac:dyDescent="0.2">
      <c r="E12" s="98"/>
      <c r="F12" s="98"/>
      <c r="G12" s="98"/>
      <c r="H12" s="98"/>
      <c r="I12" s="98"/>
      <c r="J12" s="98"/>
      <c r="K12" s="98"/>
      <c r="L12" s="98"/>
      <c r="M12" s="98"/>
      <c r="N12" s="98"/>
      <c r="O12" s="98"/>
    </row>
    <row r="13" spans="1:15" x14ac:dyDescent="0.2">
      <c r="A13" s="480" t="s">
        <v>245</v>
      </c>
      <c r="B13" s="480"/>
      <c r="C13" s="480"/>
      <c r="D13" s="480"/>
      <c r="E13" s="153"/>
      <c r="F13" s="153"/>
      <c r="G13" s="153"/>
      <c r="H13" s="153"/>
      <c r="I13" s="153"/>
      <c r="J13" s="153"/>
      <c r="K13" s="153"/>
      <c r="L13" s="153"/>
      <c r="M13" s="153"/>
      <c r="N13" s="153"/>
      <c r="O13" s="153"/>
    </row>
    <row r="14" spans="1:15" x14ac:dyDescent="0.2">
      <c r="A14" s="480" t="s">
        <v>200</v>
      </c>
      <c r="B14" s="480"/>
      <c r="C14" s="480"/>
      <c r="D14" s="480"/>
      <c r="E14" s="476"/>
      <c r="F14" s="477"/>
      <c r="G14" s="156"/>
      <c r="H14" s="476"/>
      <c r="I14" s="477"/>
      <c r="J14" s="156"/>
      <c r="K14" s="476"/>
      <c r="L14" s="477"/>
      <c r="M14" s="156"/>
      <c r="N14" s="476"/>
      <c r="O14" s="477"/>
    </row>
    <row r="15" spans="1:15" x14ac:dyDescent="0.2">
      <c r="A15" s="480" t="s">
        <v>238</v>
      </c>
      <c r="B15" s="480"/>
      <c r="C15" s="480"/>
      <c r="D15" s="480"/>
      <c r="E15" s="476"/>
      <c r="F15" s="477"/>
      <c r="G15" s="156"/>
      <c r="H15" s="476"/>
      <c r="I15" s="477"/>
      <c r="J15" s="156"/>
      <c r="K15" s="476"/>
      <c r="L15" s="477"/>
      <c r="M15" s="156"/>
      <c r="N15" s="476"/>
      <c r="O15" s="477"/>
    </row>
    <row r="16" spans="1:15" x14ac:dyDescent="0.2">
      <c r="A16" s="480" t="s">
        <v>239</v>
      </c>
      <c r="B16" s="480"/>
      <c r="C16" s="480"/>
      <c r="D16" s="480"/>
      <c r="E16" s="476"/>
      <c r="F16" s="477"/>
      <c r="G16" s="156"/>
      <c r="H16" s="476"/>
      <c r="I16" s="477"/>
      <c r="J16" s="156"/>
      <c r="K16" s="476"/>
      <c r="L16" s="477"/>
      <c r="M16" s="156"/>
      <c r="N16" s="476"/>
      <c r="O16" s="477"/>
    </row>
    <row r="17" spans="1:16" x14ac:dyDescent="0.2">
      <c r="A17" s="480" t="s">
        <v>240</v>
      </c>
      <c r="B17" s="480"/>
      <c r="C17" s="480"/>
      <c r="D17" s="480"/>
      <c r="E17" s="476"/>
      <c r="F17" s="477"/>
      <c r="G17" s="156"/>
      <c r="H17" s="476"/>
      <c r="I17" s="477"/>
      <c r="J17" s="156"/>
      <c r="K17" s="476"/>
      <c r="L17" s="477"/>
      <c r="M17" s="156"/>
      <c r="N17" s="476"/>
      <c r="O17" s="477"/>
    </row>
    <row r="18" spans="1:16" x14ac:dyDescent="0.2">
      <c r="A18" s="480" t="s">
        <v>241</v>
      </c>
      <c r="B18" s="480"/>
      <c r="C18" s="480"/>
      <c r="D18" s="480"/>
      <c r="E18" s="476"/>
      <c r="F18" s="477"/>
      <c r="G18" s="156"/>
      <c r="H18" s="476"/>
      <c r="I18" s="477"/>
      <c r="J18" s="156"/>
      <c r="K18" s="476"/>
      <c r="L18" s="477"/>
      <c r="M18" s="156"/>
      <c r="N18" s="476"/>
      <c r="O18" s="477"/>
    </row>
    <row r="19" spans="1:16" x14ac:dyDescent="0.2">
      <c r="A19" s="480" t="s">
        <v>242</v>
      </c>
      <c r="B19" s="480"/>
      <c r="C19" s="480"/>
      <c r="D19" s="480"/>
      <c r="E19" s="476"/>
      <c r="F19" s="477"/>
      <c r="G19" s="156"/>
      <c r="H19" s="476"/>
      <c r="I19" s="477"/>
      <c r="J19" s="156"/>
      <c r="K19" s="476"/>
      <c r="L19" s="477"/>
      <c r="M19" s="156"/>
      <c r="N19" s="476"/>
      <c r="O19" s="477"/>
    </row>
    <row r="20" spans="1:16" x14ac:dyDescent="0.2">
      <c r="A20" s="480" t="s">
        <v>543</v>
      </c>
      <c r="B20" s="480"/>
      <c r="C20" s="480"/>
      <c r="D20" s="480"/>
      <c r="E20" s="476"/>
      <c r="F20" s="477"/>
      <c r="G20" s="156"/>
      <c r="H20" s="476"/>
      <c r="I20" s="477"/>
      <c r="J20" s="156"/>
      <c r="K20" s="476"/>
      <c r="L20" s="477"/>
      <c r="M20" s="156"/>
      <c r="N20" s="476"/>
      <c r="O20" s="477"/>
    </row>
    <row r="21" spans="1:16" x14ac:dyDescent="0.2">
      <c r="A21" s="480" t="s">
        <v>542</v>
      </c>
      <c r="B21" s="480"/>
      <c r="C21" s="480"/>
      <c r="D21" s="480"/>
      <c r="E21" s="476"/>
      <c r="F21" s="477"/>
      <c r="G21" s="156"/>
      <c r="H21" s="476"/>
      <c r="I21" s="477"/>
      <c r="J21" s="156"/>
      <c r="K21" s="476"/>
      <c r="L21" s="477"/>
      <c r="M21" s="156"/>
      <c r="N21" s="476"/>
      <c r="O21" s="477"/>
    </row>
    <row r="22" spans="1:16" s="98" customFormat="1" ht="3.75" customHeight="1" x14ac:dyDescent="0.2">
      <c r="A22" s="152"/>
      <c r="B22" s="152"/>
      <c r="C22" s="152"/>
      <c r="D22" s="152"/>
    </row>
    <row r="23" spans="1:16" x14ac:dyDescent="0.2">
      <c r="A23" s="480" t="s">
        <v>246</v>
      </c>
      <c r="B23" s="480"/>
      <c r="C23" s="480"/>
      <c r="D23" s="480"/>
      <c r="E23" s="478"/>
      <c r="F23" s="479"/>
      <c r="G23" s="155"/>
      <c r="H23" s="478"/>
      <c r="I23" s="479"/>
      <c r="J23" s="155"/>
      <c r="K23" s="478"/>
      <c r="L23" s="479"/>
      <c r="M23" s="155"/>
      <c r="N23" s="478"/>
      <c r="O23" s="479"/>
      <c r="P23" s="408">
        <v>1</v>
      </c>
    </row>
    <row r="24" spans="1:16" x14ac:dyDescent="0.2">
      <c r="P24" s="408" t="s">
        <v>604</v>
      </c>
    </row>
    <row r="25" spans="1:16" x14ac:dyDescent="0.2">
      <c r="P25" s="408">
        <f>MONTH(P24)</f>
        <v>1</v>
      </c>
    </row>
    <row r="26" spans="1:16" x14ac:dyDescent="0.2">
      <c r="A26" s="481" t="s">
        <v>151</v>
      </c>
      <c r="B26" s="481"/>
      <c r="C26" s="157"/>
    </row>
    <row r="30" spans="1:16" x14ac:dyDescent="0.2">
      <c r="D30" s="231" t="b">
        <v>0</v>
      </c>
    </row>
  </sheetData>
  <mergeCells count="59">
    <mergeCell ref="N2:O4"/>
    <mergeCell ref="H3:K4"/>
    <mergeCell ref="A13:D13"/>
    <mergeCell ref="A14:D14"/>
    <mergeCell ref="A6:C6"/>
    <mergeCell ref="I6:L6"/>
    <mergeCell ref="D6:H6"/>
    <mergeCell ref="A1:E4"/>
    <mergeCell ref="H1:K2"/>
    <mergeCell ref="M6:N6"/>
    <mergeCell ref="K8:N8"/>
    <mergeCell ref="N14:O14"/>
    <mergeCell ref="K14:L14"/>
    <mergeCell ref="E8:H8"/>
    <mergeCell ref="B8:C8"/>
    <mergeCell ref="E14:F14"/>
    <mergeCell ref="E18:F18"/>
    <mergeCell ref="E17:F17"/>
    <mergeCell ref="E19:F19"/>
    <mergeCell ref="A10:D10"/>
    <mergeCell ref="H14:I14"/>
    <mergeCell ref="H15:I15"/>
    <mergeCell ref="E15:F15"/>
    <mergeCell ref="H17:I17"/>
    <mergeCell ref="E16:F16"/>
    <mergeCell ref="A15:D15"/>
    <mergeCell ref="A16:D16"/>
    <mergeCell ref="A21:D21"/>
    <mergeCell ref="A17:D17"/>
    <mergeCell ref="A18:D18"/>
    <mergeCell ref="A19:D19"/>
    <mergeCell ref="A26:B26"/>
    <mergeCell ref="A23:D23"/>
    <mergeCell ref="A20:D20"/>
    <mergeCell ref="E23:F23"/>
    <mergeCell ref="K19:L19"/>
    <mergeCell ref="K20:L20"/>
    <mergeCell ref="E20:F20"/>
    <mergeCell ref="H21:I21"/>
    <mergeCell ref="K23:L23"/>
    <mergeCell ref="K21:L21"/>
    <mergeCell ref="H20:I20"/>
    <mergeCell ref="E21:F21"/>
    <mergeCell ref="N15:O15"/>
    <mergeCell ref="N23:O23"/>
    <mergeCell ref="N20:O20"/>
    <mergeCell ref="N16:O16"/>
    <mergeCell ref="H16:I16"/>
    <mergeCell ref="N17:O17"/>
    <mergeCell ref="N18:O18"/>
    <mergeCell ref="H23:I23"/>
    <mergeCell ref="H19:I19"/>
    <mergeCell ref="N21:O21"/>
    <mergeCell ref="K17:L17"/>
    <mergeCell ref="K18:L18"/>
    <mergeCell ref="H18:I18"/>
    <mergeCell ref="N19:O19"/>
    <mergeCell ref="K16:L16"/>
    <mergeCell ref="K15:L15"/>
  </mergeCells>
  <phoneticPr fontId="7" type="noConversion"/>
  <dataValidations count="13">
    <dataValidation type="list" allowBlank="1" showInputMessage="1" showErrorMessage="1" sqref="O11 F11:G11 L11:M11 I11:J11">
      <formula1>vidpld6</formula1>
    </dataValidation>
    <dataValidation type="list" allowBlank="1" showInputMessage="1" showErrorMessage="1" sqref="N11 E11 K11 H11">
      <formula1>kodkor</formula1>
    </dataValidation>
    <dataValidation type="list" allowBlank="1" showInputMessage="1" showErrorMessage="1" sqref="N13 E13 K13 H13">
      <formula1>mesecid6</formula1>
    </dataValidation>
    <dataValidation type="list" allowBlank="1" showInputMessage="1" showErrorMessage="1" sqref="O13 I13:J13 L13:M13 G13">
      <formula1>godini</formula1>
    </dataValidation>
    <dataValidation type="decimal" allowBlank="1" showInputMessage="1" showErrorMessage="1" sqref="E14:O21">
      <formula1>0</formula1>
      <formula2>999999</formula2>
    </dataValidation>
    <dataValidation type="date" allowBlank="1" showInputMessage="1" showErrorMessage="1" sqref="C26">
      <formula1>40544</formula1>
      <formula2>44227</formula2>
    </dataValidation>
    <dataValidation type="list" allowBlank="1" showInputMessage="1" showErrorMessage="1" sqref="M6:N6">
      <formula1>kodok</formula1>
    </dataValidation>
    <dataValidation type="textLength" allowBlank="1" showInputMessage="1" showErrorMessage="1" sqref="D6:H6">
      <formula1>3</formula1>
      <formula2>60</formula2>
    </dataValidation>
    <dataValidation type="textLength" allowBlank="1" showInputMessage="1" showErrorMessage="1" sqref="B8:C8">
      <formula1>0</formula1>
      <formula2>50</formula2>
    </dataValidation>
    <dataValidation type="textLength" allowBlank="1" showInputMessage="1" showErrorMessage="1" sqref="E8:H8 K8:N8">
      <formula1>0</formula1>
      <formula2>20</formula2>
    </dataValidation>
    <dataValidation type="date" allowBlank="1" showInputMessage="1" showErrorMessage="1" sqref="N23:O23 H23:I23 K23:L23">
      <formula1>38353</formula1>
      <formula2>43861</formula2>
    </dataValidation>
    <dataValidation type="date" allowBlank="1" showInputMessage="1" showErrorMessage="1" sqref="E23:F23">
      <formula1>36526</formula1>
      <formula2>44196</formula2>
    </dataValidation>
    <dataValidation type="list" allowBlank="1" showInputMessage="1" sqref="F13">
      <formula1>godini</formula1>
    </dataValidation>
  </dataValidations>
  <pageMargins left="0.56999999999999995" right="0.4" top="0.98" bottom="1" header="0.4921259845" footer="0.4921259845"/>
  <pageSetup paperSize="9" scale="97" orientation="landscape" horizontalDpi="300" verticalDpi="3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7420" r:id="rId4" name="dood6">
              <controlPr defaultSize="0" print="0" autoFill="0" autoPict="0" macro="[0]!Copy1">
                <anchor moveWithCells="1">
                  <from>
                    <xdr:col>4</xdr:col>
                    <xdr:colOff>180975</xdr:colOff>
                    <xdr:row>24</xdr:row>
                    <xdr:rowOff>142875</xdr:rowOff>
                  </from>
                  <to>
                    <xdr:col>5</xdr:col>
                    <xdr:colOff>581025</xdr:colOff>
                    <xdr:row>27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1" r:id="rId5" name="Button 13">
              <controlPr defaultSize="0" print="0" autoFill="0" autoPict="0" macro="[0]!Clear1">
                <anchor moveWithCells="1">
                  <from>
                    <xdr:col>11</xdr:col>
                    <xdr:colOff>352425</xdr:colOff>
                    <xdr:row>24</xdr:row>
                    <xdr:rowOff>133350</xdr:rowOff>
                  </from>
                  <to>
                    <xdr:col>14</xdr:col>
                    <xdr:colOff>47625</xdr:colOff>
                    <xdr:row>27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9" r:id="rId6" name="Button 31">
              <controlPr defaultSize="0" print="0" autoFill="0" autoPict="0" macro="[0]!PrintD6">
                <anchor moveWithCells="1" sizeWithCells="1">
                  <from>
                    <xdr:col>2</xdr:col>
                    <xdr:colOff>171450</xdr:colOff>
                    <xdr:row>27</xdr:row>
                    <xdr:rowOff>38100</xdr:rowOff>
                  </from>
                  <to>
                    <xdr:col>2</xdr:col>
                    <xdr:colOff>1304925</xdr:colOff>
                    <xdr:row>29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64" r:id="rId7" name="Check Box 56">
              <controlPr defaultSize="0" autoFill="0" autoLine="0" autoPict="0" macro="[0]!d6cvqt">
                <anchor moveWithCells="1">
                  <from>
                    <xdr:col>3</xdr:col>
                    <xdr:colOff>142875</xdr:colOff>
                    <xdr:row>27</xdr:row>
                    <xdr:rowOff>114300</xdr:rowOff>
                  </from>
                  <to>
                    <xdr:col>3</xdr:col>
                    <xdr:colOff>1247775</xdr:colOff>
                    <xdr:row>29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68" r:id="rId8" name="Button 60">
              <controlPr defaultSize="0" print="0" autoFill="0" autoPict="0" macro="[0]!showuserform1">
                <anchor moveWithCells="1">
                  <from>
                    <xdr:col>8</xdr:col>
                    <xdr:colOff>504825</xdr:colOff>
                    <xdr:row>24</xdr:row>
                    <xdr:rowOff>133350</xdr:rowOff>
                  </from>
                  <to>
                    <xdr:col>11</xdr:col>
                    <xdr:colOff>209550</xdr:colOff>
                    <xdr:row>27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8"/>
  <dimension ref="A1:N30"/>
  <sheetViews>
    <sheetView zoomScale="90" zoomScaleNormal="90" workbookViewId="0">
      <selection activeCell="G35" sqref="G35"/>
    </sheetView>
  </sheetViews>
  <sheetFormatPr defaultRowHeight="12.75" x14ac:dyDescent="0.2"/>
  <cols>
    <col min="1" max="1" width="2" style="1" customWidth="1"/>
    <col min="2" max="2" width="30.42578125" style="1" customWidth="1"/>
    <col min="3" max="4" width="10" style="1" customWidth="1"/>
    <col min="5" max="16384" width="9.140625" style="1"/>
  </cols>
  <sheetData>
    <row r="1" spans="2:14" x14ac:dyDescent="0.2">
      <c r="B1" s="1" t="s">
        <v>145</v>
      </c>
      <c r="G1" s="13"/>
      <c r="H1" s="16"/>
      <c r="N1" s="85"/>
    </row>
    <row r="2" spans="2:14" x14ac:dyDescent="0.2">
      <c r="B2" s="92" t="s">
        <v>146</v>
      </c>
      <c r="C2" s="158" t="str">
        <f>IF(Д6!H3="","",Д6!H3)</f>
        <v>987654322</v>
      </c>
      <c r="E2" s="93"/>
      <c r="H2" s="9">
        <v>0</v>
      </c>
      <c r="N2" s="97" t="s">
        <v>225</v>
      </c>
    </row>
    <row r="3" spans="2:14" x14ac:dyDescent="0.2">
      <c r="B3" s="92" t="s">
        <v>147</v>
      </c>
      <c r="C3" s="7" t="str">
        <f>IF(Д6!D6="","",Д6!D6)</f>
        <v>Проба ЕООД</v>
      </c>
      <c r="E3" s="9" t="s">
        <v>153</v>
      </c>
      <c r="G3" s="1">
        <v>2005</v>
      </c>
      <c r="H3" s="9">
        <v>1</v>
      </c>
      <c r="I3" s="1">
        <v>1</v>
      </c>
      <c r="N3" s="97" t="s">
        <v>226</v>
      </c>
    </row>
    <row r="4" spans="2:14" x14ac:dyDescent="0.2">
      <c r="B4" s="92" t="s">
        <v>152</v>
      </c>
      <c r="C4" s="7">
        <f>IF(Д6!M6="","",Д6!M6)</f>
        <v>0</v>
      </c>
      <c r="E4" s="9"/>
      <c r="G4" s="1">
        <v>2006</v>
      </c>
      <c r="H4" s="9"/>
      <c r="I4" s="1">
        <v>2</v>
      </c>
      <c r="N4" s="97" t="s">
        <v>227</v>
      </c>
    </row>
    <row r="5" spans="2:14" x14ac:dyDescent="0.2">
      <c r="B5" s="92" t="s">
        <v>148</v>
      </c>
      <c r="C5" s="7" t="str">
        <f>IF(Д6!B8="","",Д6!B8)</f>
        <v/>
      </c>
      <c r="E5" s="13"/>
      <c r="G5" s="1">
        <v>2007</v>
      </c>
      <c r="H5" s="38"/>
      <c r="I5" s="1">
        <v>3</v>
      </c>
      <c r="N5" s="97" t="s">
        <v>228</v>
      </c>
    </row>
    <row r="6" spans="2:14" x14ac:dyDescent="0.2">
      <c r="B6" s="92" t="s">
        <v>149</v>
      </c>
      <c r="C6" s="7" t="str">
        <f>IF(Д6!E8="","",Д6!E8)</f>
        <v/>
      </c>
      <c r="G6" s="1">
        <v>2008</v>
      </c>
      <c r="H6" s="10"/>
      <c r="I6" s="1">
        <v>4</v>
      </c>
      <c r="N6" s="97" t="s">
        <v>229</v>
      </c>
    </row>
    <row r="7" spans="2:14" x14ac:dyDescent="0.2">
      <c r="B7" s="92" t="s">
        <v>150</v>
      </c>
      <c r="C7" s="7" t="str">
        <f>IF(Д6!K8="","",Д6!K8)</f>
        <v/>
      </c>
      <c r="E7" s="9"/>
      <c r="G7" s="1">
        <v>2009</v>
      </c>
      <c r="H7" s="10"/>
      <c r="I7" s="1">
        <v>5</v>
      </c>
      <c r="N7" s="97" t="s">
        <v>230</v>
      </c>
    </row>
    <row r="8" spans="2:14" x14ac:dyDescent="0.2">
      <c r="B8" s="92" t="s">
        <v>151</v>
      </c>
      <c r="C8" s="146" t="str">
        <f>IF(Д6!C26="","",Д6!C26)</f>
        <v/>
      </c>
      <c r="G8" s="1">
        <v>2010</v>
      </c>
      <c r="I8" s="1">
        <v>6</v>
      </c>
      <c r="N8" s="97" t="s">
        <v>231</v>
      </c>
    </row>
    <row r="9" spans="2:14" x14ac:dyDescent="0.2">
      <c r="B9" s="91"/>
      <c r="C9" s="147" t="s">
        <v>220</v>
      </c>
      <c r="G9" s="1">
        <v>2011</v>
      </c>
      <c r="I9" s="1">
        <v>8</v>
      </c>
      <c r="N9" s="97" t="s">
        <v>232</v>
      </c>
    </row>
    <row r="10" spans="2:14" x14ac:dyDescent="0.2">
      <c r="B10" s="519" t="s">
        <v>177</v>
      </c>
      <c r="C10" s="520"/>
      <c r="D10" s="520"/>
      <c r="G10" s="1">
        <v>2012</v>
      </c>
      <c r="I10" s="1">
        <v>9</v>
      </c>
      <c r="N10" s="97" t="s">
        <v>233</v>
      </c>
    </row>
    <row r="11" spans="2:14" ht="12" customHeight="1" x14ac:dyDescent="0.2">
      <c r="B11" s="96" t="s">
        <v>125</v>
      </c>
      <c r="C11" s="517">
        <f>SUM(Рекапитулация!D4:D23)+Рекапитулация!D24+SUM(Рекапитулация!D38:D57)</f>
        <v>0</v>
      </c>
      <c r="D11" s="518"/>
      <c r="G11" s="1">
        <v>2013</v>
      </c>
      <c r="N11" s="97" t="s">
        <v>234</v>
      </c>
    </row>
    <row r="12" spans="2:14" ht="12" customHeight="1" x14ac:dyDescent="0.2">
      <c r="B12" s="95" t="s">
        <v>126</v>
      </c>
      <c r="C12" s="517">
        <f>Рекапитулация!D34</f>
        <v>0</v>
      </c>
      <c r="D12" s="518"/>
      <c r="G12" s="1">
        <v>2014</v>
      </c>
      <c r="N12" s="97" t="s">
        <v>235</v>
      </c>
    </row>
    <row r="13" spans="2:14" ht="12" customHeight="1" x14ac:dyDescent="0.2">
      <c r="B13" s="95" t="s">
        <v>127</v>
      </c>
      <c r="C13" s="517">
        <f>Рекапитулация!D26+Рекапитулация!D58+Рекапитулация!D27+Рекапитулация!D59</f>
        <v>0</v>
      </c>
      <c r="D13" s="518"/>
      <c r="N13" s="97" t="s">
        <v>236</v>
      </c>
    </row>
    <row r="14" spans="2:14" ht="12" customHeight="1" x14ac:dyDescent="0.2">
      <c r="B14" s="95" t="s">
        <v>128</v>
      </c>
      <c r="C14" s="517">
        <f>SUM(Рекапитулация!D28:D29)</f>
        <v>0</v>
      </c>
      <c r="D14" s="518"/>
      <c r="F14" s="516">
        <v>1</v>
      </c>
      <c r="G14" s="516"/>
      <c r="H14" s="516">
        <v>2</v>
      </c>
      <c r="I14" s="516"/>
      <c r="J14" s="516">
        <v>3</v>
      </c>
      <c r="K14" s="516"/>
      <c r="L14" s="516">
        <v>4</v>
      </c>
      <c r="M14" s="516"/>
      <c r="N14" s="97" t="s">
        <v>237</v>
      </c>
    </row>
    <row r="15" spans="2:14" ht="12" customHeight="1" x14ac:dyDescent="0.2">
      <c r="B15" s="95" t="s">
        <v>129</v>
      </c>
      <c r="C15" s="517">
        <f>SUM(Рекапитулация!D30:D33,Рекапитулация!D69:D71)</f>
        <v>0</v>
      </c>
      <c r="D15" s="518"/>
      <c r="E15" s="145" t="s">
        <v>218</v>
      </c>
      <c r="F15" s="516" t="str">
        <f>IF(Д6!E11="","",Д6!E11)</f>
        <v/>
      </c>
      <c r="G15" s="516"/>
      <c r="H15" s="516" t="str">
        <f>IF(Д6!H11="","",Д6!H11)</f>
        <v/>
      </c>
      <c r="I15" s="516"/>
      <c r="J15" s="516" t="str">
        <f>IF(Д6!K11="","",Д6!K11)</f>
        <v/>
      </c>
      <c r="K15" s="516"/>
      <c r="L15" s="516" t="str">
        <f>IF(Д6!N11="","",Д6!N11)</f>
        <v/>
      </c>
      <c r="M15" s="516"/>
    </row>
    <row r="16" spans="2:14" ht="12" customHeight="1" x14ac:dyDescent="0.2">
      <c r="B16" s="95" t="s">
        <v>130</v>
      </c>
      <c r="C16" s="517">
        <f>Рекапитулация!D25</f>
        <v>0</v>
      </c>
      <c r="D16" s="518"/>
      <c r="E16" s="145" t="s">
        <v>219</v>
      </c>
      <c r="F16" s="516" t="str">
        <f>IF(Д6!F11="","",Д6!F11)</f>
        <v/>
      </c>
      <c r="G16" s="516"/>
      <c r="H16" s="516" t="str">
        <f>IF(Д6!I11="","",Д6!I11)</f>
        <v/>
      </c>
      <c r="I16" s="516"/>
      <c r="J16" s="516" t="str">
        <f>IF(Д6!L11="","",Д6!L11)</f>
        <v/>
      </c>
      <c r="K16" s="516"/>
      <c r="L16" s="516" t="str">
        <f>IF(Д6!O11="","",Д6!O11)</f>
        <v/>
      </c>
      <c r="M16" s="516"/>
    </row>
    <row r="17" spans="1:13" ht="12" customHeight="1" x14ac:dyDescent="0.2">
      <c r="B17" s="144" t="s">
        <v>216</v>
      </c>
      <c r="C17" s="517">
        <f>Рекапитулация!D74</f>
        <v>0</v>
      </c>
      <c r="D17" s="518"/>
      <c r="E17" s="1">
        <v>9</v>
      </c>
      <c r="F17" s="1" t="str">
        <f>IF(Д6!E13="","",Д6!E13)</f>
        <v/>
      </c>
      <c r="G17" s="1" t="str">
        <f>IF(Д6!F13="","",Д6!F13)</f>
        <v/>
      </c>
      <c r="H17" s="1" t="str">
        <f>IF(Д6!H13="","",Д6!H13)</f>
        <v/>
      </c>
      <c r="I17" s="1" t="str">
        <f>IF(Д6!I13="","",Д6!I13)</f>
        <v/>
      </c>
      <c r="J17" s="1" t="str">
        <f>IF(Д6!K13="","",Д6!K13)</f>
        <v/>
      </c>
      <c r="K17" s="1" t="str">
        <f>IF(Д6!L13="","",Д6!L13)</f>
        <v/>
      </c>
      <c r="L17" s="1" t="str">
        <f>IF(Д6!N13="","",Д6!N13)</f>
        <v/>
      </c>
      <c r="M17" s="1" t="str">
        <f>IF(Д6!O13="","",Д6!O13)</f>
        <v/>
      </c>
    </row>
    <row r="18" spans="1:13" ht="12" customHeight="1" x14ac:dyDescent="0.2">
      <c r="B18" s="143" t="s">
        <v>541</v>
      </c>
      <c r="C18" s="517">
        <v>0</v>
      </c>
      <c r="D18" s="518"/>
      <c r="E18" s="1">
        <v>10</v>
      </c>
      <c r="F18" s="513" t="str">
        <f>IF(Д6!E14="","",Д6!E14)</f>
        <v/>
      </c>
      <c r="G18" s="513"/>
      <c r="H18" s="513" t="str">
        <f>IF(Д6!H14="","",Д6!H14)</f>
        <v/>
      </c>
      <c r="I18" s="513"/>
      <c r="J18" s="513" t="str">
        <f>IF(Д6!K14="","",Д6!K14)</f>
        <v/>
      </c>
      <c r="K18" s="513"/>
      <c r="L18" s="513" t="str">
        <f>IF(Д6!N14="","",Д6!N14)</f>
        <v/>
      </c>
      <c r="M18" s="513"/>
    </row>
    <row r="19" spans="1:13" x14ac:dyDescent="0.2">
      <c r="E19" s="1">
        <v>11</v>
      </c>
      <c r="F19" s="513" t="str">
        <f>IF(Д6!E15="","",Д6!E15)</f>
        <v/>
      </c>
      <c r="G19" s="513"/>
      <c r="H19" s="513" t="str">
        <f>IF(Д6!H15="","",Д6!H15)</f>
        <v/>
      </c>
      <c r="I19" s="513"/>
      <c r="J19" s="513" t="str">
        <f>IF(Д6!K15="","",Д6!K15)</f>
        <v/>
      </c>
      <c r="K19" s="513"/>
      <c r="L19" s="513" t="str">
        <f>IF(Д6!N15="","",Д6!N15)</f>
        <v/>
      </c>
      <c r="M19" s="513"/>
    </row>
    <row r="20" spans="1:13" x14ac:dyDescent="0.2">
      <c r="B20" s="230" t="s">
        <v>517</v>
      </c>
      <c r="E20" s="1">
        <v>12</v>
      </c>
      <c r="F20" s="513" t="str">
        <f>IF(Д6!E16="","",Д6!E16)</f>
        <v/>
      </c>
      <c r="G20" s="513"/>
      <c r="H20" s="513" t="str">
        <f>IF(Д6!H16="","",Д6!H16)</f>
        <v/>
      </c>
      <c r="I20" s="513"/>
      <c r="J20" s="513" t="str">
        <f>IF(Д6!K16="","",Д6!K16)</f>
        <v/>
      </c>
      <c r="K20" s="513"/>
      <c r="L20" s="513" t="str">
        <f>IF(Д6!N16="","",Д6!N16)</f>
        <v/>
      </c>
      <c r="M20" s="513"/>
    </row>
    <row r="21" spans="1:13" x14ac:dyDescent="0.2">
      <c r="B21" s="230" t="s">
        <v>518</v>
      </c>
      <c r="C21" s="12"/>
      <c r="E21" s="1">
        <v>13</v>
      </c>
      <c r="F21" s="513" t="str">
        <f>IF(Д6!E17="","",Д6!E17)</f>
        <v/>
      </c>
      <c r="G21" s="513"/>
      <c r="H21" s="513" t="str">
        <f>IF(Д6!H17="","",Д6!H17)</f>
        <v/>
      </c>
      <c r="I21" s="513"/>
      <c r="J21" s="513" t="str">
        <f>IF(Д6!K17="","",Д6!K17)</f>
        <v/>
      </c>
      <c r="K21" s="513"/>
      <c r="L21" s="513" t="str">
        <f>IF(Д6!N17="","",Д6!N17)</f>
        <v/>
      </c>
      <c r="M21" s="513"/>
    </row>
    <row r="22" spans="1:13" x14ac:dyDescent="0.2">
      <c r="B22" s="230" t="s">
        <v>522</v>
      </c>
      <c r="E22" s="1">
        <v>14</v>
      </c>
      <c r="F22" s="513" t="str">
        <f>IF(Д6!E18="","",Д6!E18)</f>
        <v/>
      </c>
      <c r="G22" s="513"/>
      <c r="H22" s="513" t="str">
        <f>IF(Д6!H18="","",Д6!H18)</f>
        <v/>
      </c>
      <c r="I22" s="513"/>
      <c r="J22" s="513" t="str">
        <f>IF(Д6!K18="","",Д6!K18)</f>
        <v/>
      </c>
      <c r="K22" s="513"/>
      <c r="L22" s="513" t="str">
        <f>IF(Д6!N18="","",Д6!N18)</f>
        <v/>
      </c>
      <c r="M22" s="513"/>
    </row>
    <row r="23" spans="1:13" x14ac:dyDescent="0.2">
      <c r="A23" s="12"/>
      <c r="B23" s="230" t="s">
        <v>523</v>
      </c>
      <c r="E23" s="1">
        <v>15</v>
      </c>
      <c r="F23" s="513" t="str">
        <f>IF(Д6!E19="","",Д6!E19)</f>
        <v/>
      </c>
      <c r="G23" s="513"/>
      <c r="H23" s="513" t="str">
        <f>IF(Д6!H19="","",Д6!H19)</f>
        <v/>
      </c>
      <c r="I23" s="513"/>
      <c r="J23" s="513" t="str">
        <f>IF(Д6!K19="","",Д6!K19)</f>
        <v/>
      </c>
      <c r="K23" s="513"/>
      <c r="L23" s="513" t="str">
        <f>IF(Д6!N19="","",Д6!N19)</f>
        <v/>
      </c>
      <c r="M23" s="513"/>
    </row>
    <row r="24" spans="1:13" x14ac:dyDescent="0.2">
      <c r="A24" s="12"/>
      <c r="B24" s="230" t="s">
        <v>519</v>
      </c>
      <c r="E24" s="1">
        <v>16</v>
      </c>
      <c r="F24" s="513" t="str">
        <f>IF(Д6!E20="","",Д6!E20)</f>
        <v/>
      </c>
      <c r="G24" s="513"/>
      <c r="H24" s="513" t="str">
        <f>IF(Д6!H20="","",Д6!H20)</f>
        <v/>
      </c>
      <c r="I24" s="513"/>
      <c r="J24" s="513" t="str">
        <f>IF(Д6!K20="","",Д6!K20)</f>
        <v/>
      </c>
      <c r="K24" s="513"/>
      <c r="L24" s="513" t="str">
        <f>IF(Д6!N20="","",Д6!N20)</f>
        <v/>
      </c>
      <c r="M24" s="513"/>
    </row>
    <row r="25" spans="1:13" x14ac:dyDescent="0.2">
      <c r="A25" s="12"/>
      <c r="B25" s="230" t="s">
        <v>524</v>
      </c>
      <c r="E25" s="1">
        <v>17</v>
      </c>
      <c r="F25" s="513" t="str">
        <f>IF(Д6!E21="","",Д6!E21)</f>
        <v/>
      </c>
      <c r="G25" s="513"/>
      <c r="H25" s="513" t="str">
        <f>IF(Д6!H21="","",Д6!H21)</f>
        <v/>
      </c>
      <c r="I25" s="513"/>
      <c r="J25" s="513" t="str">
        <f>IF(Д6!K21="","",Д6!K21)</f>
        <v/>
      </c>
      <c r="K25" s="513"/>
      <c r="L25" s="513" t="str">
        <f>IF(Д6!N21="","",Д6!N21)</f>
        <v/>
      </c>
      <c r="M25" s="513"/>
    </row>
    <row r="26" spans="1:13" x14ac:dyDescent="0.2">
      <c r="A26" s="12"/>
      <c r="B26" s="230" t="s">
        <v>525</v>
      </c>
      <c r="E26" s="1">
        <v>18</v>
      </c>
      <c r="F26" s="514" t="str">
        <f>IF(Д6!E23="","",Д6!E23)</f>
        <v/>
      </c>
      <c r="G26" s="514"/>
      <c r="H26" s="514" t="str">
        <f>IF(Д6!H23="","",Д6!H23)</f>
        <v/>
      </c>
      <c r="I26" s="515"/>
      <c r="J26" s="514" t="str">
        <f>IF(Д6!K23="","",Д6!K23)</f>
        <v/>
      </c>
      <c r="K26" s="515"/>
      <c r="L26" s="513" t="str">
        <f>IF(Д6!N23="","",Д6!N23)</f>
        <v/>
      </c>
      <c r="M26" s="513"/>
    </row>
    <row r="27" spans="1:13" x14ac:dyDescent="0.2">
      <c r="A27" s="12"/>
      <c r="B27" s="230" t="s">
        <v>520</v>
      </c>
    </row>
    <row r="28" spans="1:13" x14ac:dyDescent="0.2">
      <c r="B28" s="421" t="s">
        <v>608</v>
      </c>
    </row>
    <row r="29" spans="1:13" x14ac:dyDescent="0.2">
      <c r="B29" s="421" t="s">
        <v>609</v>
      </c>
    </row>
    <row r="30" spans="1:13" x14ac:dyDescent="0.2">
      <c r="B30" s="230" t="s">
        <v>521</v>
      </c>
    </row>
  </sheetData>
  <sheetProtection selectLockedCells="1"/>
  <mergeCells count="57">
    <mergeCell ref="B10:D10"/>
    <mergeCell ref="L15:M15"/>
    <mergeCell ref="L14:M14"/>
    <mergeCell ref="L16:M16"/>
    <mergeCell ref="H14:I14"/>
    <mergeCell ref="H16:I16"/>
    <mergeCell ref="C11:D11"/>
    <mergeCell ref="C12:D12"/>
    <mergeCell ref="C13:D13"/>
    <mergeCell ref="C14:D14"/>
    <mergeCell ref="J15:K15"/>
    <mergeCell ref="F14:G14"/>
    <mergeCell ref="J16:K16"/>
    <mergeCell ref="C16:D16"/>
    <mergeCell ref="J14:K14"/>
    <mergeCell ref="F15:G15"/>
    <mergeCell ref="F21:G21"/>
    <mergeCell ref="H15:I15"/>
    <mergeCell ref="C15:D15"/>
    <mergeCell ref="F16:G16"/>
    <mergeCell ref="C17:D17"/>
    <mergeCell ref="H20:I20"/>
    <mergeCell ref="C18:D18"/>
    <mergeCell ref="H19:I19"/>
    <mergeCell ref="F20:G20"/>
    <mergeCell ref="F19:G19"/>
    <mergeCell ref="F18:G18"/>
    <mergeCell ref="L22:M22"/>
    <mergeCell ref="J20:K20"/>
    <mergeCell ref="H18:I18"/>
    <mergeCell ref="L20:M20"/>
    <mergeCell ref="J18:K18"/>
    <mergeCell ref="L18:M18"/>
    <mergeCell ref="J19:K19"/>
    <mergeCell ref="L19:M19"/>
    <mergeCell ref="H21:I21"/>
    <mergeCell ref="L21:M21"/>
    <mergeCell ref="J21:K21"/>
    <mergeCell ref="L26:M26"/>
    <mergeCell ref="L25:M25"/>
    <mergeCell ref="J23:K23"/>
    <mergeCell ref="H23:I23"/>
    <mergeCell ref="L24:M24"/>
    <mergeCell ref="L23:M23"/>
    <mergeCell ref="F26:G26"/>
    <mergeCell ref="H26:I26"/>
    <mergeCell ref="J26:K26"/>
    <mergeCell ref="F25:G25"/>
    <mergeCell ref="H25:I25"/>
    <mergeCell ref="J25:K25"/>
    <mergeCell ref="F24:G24"/>
    <mergeCell ref="H24:I24"/>
    <mergeCell ref="J24:K24"/>
    <mergeCell ref="H22:I22"/>
    <mergeCell ref="F23:G23"/>
    <mergeCell ref="F22:G22"/>
    <mergeCell ref="J22:K22"/>
  </mergeCells>
  <phoneticPr fontId="7" type="noConversion"/>
  <pageMargins left="0.75" right="0.75" top="1" bottom="1" header="0.5" footer="0.5"/>
  <pageSetup paperSize="9" orientation="portrait" horizontalDpi="240" verticalDpi="144" r:id="rId1"/>
  <headerFooter alignWithMargins="0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0">
    <pageSetUpPr fitToPage="1"/>
  </sheetPr>
  <dimension ref="A1:BC72"/>
  <sheetViews>
    <sheetView showGridLines="0" showRuler="0" zoomScaleNormal="100" workbookViewId="0">
      <selection activeCell="L14" sqref="L14"/>
    </sheetView>
  </sheetViews>
  <sheetFormatPr defaultColWidth="1.85546875" defaultRowHeight="9.75" customHeight="1" x14ac:dyDescent="0.2"/>
  <cols>
    <col min="1" max="36" width="1.85546875" style="232" customWidth="1"/>
    <col min="37" max="37" width="2.140625" style="232" customWidth="1"/>
    <col min="38" max="38" width="1.85546875" style="232" customWidth="1"/>
    <col min="39" max="39" width="2" style="232" customWidth="1"/>
    <col min="40" max="47" width="1.85546875" style="232" customWidth="1"/>
    <col min="48" max="48" width="3.28515625" hidden="1" customWidth="1"/>
    <col min="49" max="49" width="1.85546875" style="98" customWidth="1"/>
  </cols>
  <sheetData>
    <row r="1" spans="1:48" ht="12.75" x14ac:dyDescent="0.2">
      <c r="W1" s="536" t="s">
        <v>180</v>
      </c>
      <c r="X1" s="536"/>
      <c r="Y1" s="536"/>
      <c r="Z1" s="536"/>
      <c r="AA1" s="536"/>
      <c r="AB1" s="536"/>
      <c r="AC1" s="536"/>
      <c r="AD1" s="536"/>
      <c r="AE1" s="536"/>
      <c r="AF1" s="536"/>
      <c r="AG1" s="536"/>
      <c r="AH1" s="536"/>
      <c r="AI1" s="536"/>
      <c r="AJ1" s="536"/>
      <c r="AK1" s="536"/>
      <c r="AL1" s="536"/>
      <c r="AM1" s="536"/>
      <c r="AN1" s="536"/>
      <c r="AO1" s="536"/>
      <c r="AP1" s="536"/>
      <c r="AQ1" s="536"/>
      <c r="AR1" s="536"/>
      <c r="AS1" s="536"/>
      <c r="AT1" s="536"/>
      <c r="AU1" s="536"/>
      <c r="AV1" s="536"/>
    </row>
    <row r="2" spans="1:48" ht="3.75" customHeight="1" thickBot="1" x14ac:dyDescent="0.25">
      <c r="A2" s="233"/>
      <c r="B2" s="233"/>
      <c r="C2" s="233"/>
      <c r="D2" s="233"/>
      <c r="E2" s="233"/>
      <c r="F2" s="233"/>
      <c r="G2" s="233"/>
      <c r="H2" s="233"/>
      <c r="I2" s="233"/>
      <c r="J2" s="233"/>
      <c r="K2" s="233"/>
      <c r="L2" s="233"/>
      <c r="M2" s="233"/>
      <c r="N2" s="233"/>
      <c r="O2" s="233"/>
      <c r="P2" s="233"/>
      <c r="Q2" s="233"/>
      <c r="R2" s="233"/>
      <c r="S2" s="233"/>
      <c r="T2" s="233"/>
      <c r="U2" s="233"/>
      <c r="V2" s="233"/>
      <c r="W2" s="233"/>
      <c r="X2" s="233"/>
      <c r="Y2" s="233"/>
      <c r="Z2" s="233"/>
      <c r="AA2" s="233"/>
      <c r="AB2" s="233"/>
      <c r="AC2" s="233"/>
      <c r="AD2" s="233"/>
      <c r="AE2" s="233"/>
      <c r="AF2" s="233"/>
      <c r="AG2" s="233"/>
    </row>
    <row r="3" spans="1:48" ht="11.25" customHeight="1" thickTop="1" x14ac:dyDescent="0.2">
      <c r="A3" s="234"/>
      <c r="B3" s="235"/>
      <c r="C3" s="235"/>
      <c r="D3" s="235"/>
      <c r="E3" s="235"/>
      <c r="F3" s="99" t="s">
        <v>181</v>
      </c>
      <c r="G3" s="99"/>
      <c r="H3" s="99"/>
      <c r="I3" s="99"/>
      <c r="J3" s="99"/>
      <c r="K3" s="99"/>
      <c r="L3" s="99"/>
      <c r="M3" s="99"/>
      <c r="N3" s="99"/>
      <c r="O3" s="99"/>
      <c r="P3" s="99"/>
      <c r="Q3" s="99"/>
      <c r="R3" s="99"/>
      <c r="S3" s="99"/>
      <c r="T3" s="99"/>
      <c r="U3" s="99"/>
      <c r="V3" s="99"/>
      <c r="W3" s="99"/>
      <c r="X3" s="99"/>
      <c r="Y3" s="99"/>
      <c r="Z3" s="99"/>
      <c r="AA3" s="99"/>
      <c r="AB3" s="99"/>
      <c r="AC3" s="100"/>
      <c r="AD3" s="537" t="s">
        <v>539</v>
      </c>
      <c r="AE3" s="537"/>
      <c r="AF3" s="537"/>
      <c r="AG3" s="537"/>
      <c r="AH3" s="538"/>
      <c r="AI3" s="236"/>
      <c r="AJ3" s="236"/>
      <c r="AK3" s="236"/>
      <c r="AL3" s="236"/>
      <c r="AM3" s="236"/>
      <c r="AN3" s="236"/>
      <c r="AO3" s="236"/>
      <c r="AP3" s="236"/>
      <c r="AQ3" s="236"/>
      <c r="AR3" s="236"/>
      <c r="AS3" s="236"/>
      <c r="AT3" s="236"/>
      <c r="AU3" s="237"/>
    </row>
    <row r="4" spans="1:48" ht="11.25" customHeight="1" x14ac:dyDescent="0.2">
      <c r="A4" s="238"/>
      <c r="B4" s="235"/>
      <c r="C4" s="235"/>
      <c r="D4" s="235"/>
      <c r="E4" s="235"/>
      <c r="F4" s="539" t="s">
        <v>182</v>
      </c>
      <c r="G4" s="539"/>
      <c r="H4" s="539"/>
      <c r="I4" s="539"/>
      <c r="J4" s="539"/>
      <c r="K4" s="539"/>
      <c r="L4" s="539"/>
      <c r="M4" s="539"/>
      <c r="N4" s="539"/>
      <c r="O4" s="539"/>
      <c r="P4" s="539"/>
      <c r="Q4" s="539"/>
      <c r="R4" s="539"/>
      <c r="S4" s="539"/>
      <c r="T4" s="539"/>
      <c r="U4" s="539"/>
      <c r="V4" s="539"/>
      <c r="W4" s="539"/>
      <c r="X4" s="539"/>
      <c r="Y4" s="539"/>
      <c r="Z4" s="539"/>
      <c r="AA4" s="539"/>
      <c r="AB4" s="101"/>
      <c r="AC4" s="100"/>
      <c r="AD4" s="540" t="s">
        <v>538</v>
      </c>
      <c r="AE4" s="540"/>
      <c r="AF4" s="540"/>
      <c r="AG4" s="540"/>
      <c r="AH4" s="541"/>
      <c r="AI4" s="221" t="str">
        <f>MID(Инфо!C2,1,1)</f>
        <v>9</v>
      </c>
      <c r="AJ4" s="221" t="str">
        <f>MID(Инфо!C2,2,1)</f>
        <v>8</v>
      </c>
      <c r="AK4" s="222" t="str">
        <f>MID(Инфо!C2,3,1)</f>
        <v>7</v>
      </c>
      <c r="AL4" s="223" t="str">
        <f>MID(Инфо!C2,4,1)</f>
        <v>6</v>
      </c>
      <c r="AM4" s="222" t="str">
        <f>MID(Инфо!C2,5,1)</f>
        <v>5</v>
      </c>
      <c r="AN4" s="221" t="str">
        <f>MID(Инфо!C2,6,1)</f>
        <v>4</v>
      </c>
      <c r="AO4" s="221" t="str">
        <f>MID(Инфо!C2,7,1)</f>
        <v>3</v>
      </c>
      <c r="AP4" s="221" t="str">
        <f>MID(Инфо!C2,8,1)</f>
        <v>2</v>
      </c>
      <c r="AQ4" s="221" t="str">
        <f>MID(Инфо!C2,9,1)</f>
        <v>2</v>
      </c>
      <c r="AR4" s="221" t="str">
        <f>MID(Инфо!C2,10,1)</f>
        <v/>
      </c>
      <c r="AS4" s="221" t="str">
        <f>MID(Инфо!C2,11,1)</f>
        <v/>
      </c>
      <c r="AT4" s="221" t="str">
        <f>MID(Инфо!C2,12,1)</f>
        <v/>
      </c>
      <c r="AU4" s="224" t="str">
        <f>MID(Инфо!C2,13,1)</f>
        <v/>
      </c>
    </row>
    <row r="5" spans="1:48" ht="11.25" customHeight="1" x14ac:dyDescent="0.2">
      <c r="A5" s="238"/>
      <c r="B5" s="235"/>
      <c r="C5" s="235"/>
      <c r="D5" s="235"/>
      <c r="E5" s="235"/>
      <c r="F5" s="542" t="s">
        <v>554</v>
      </c>
      <c r="G5" s="542"/>
      <c r="H5" s="542"/>
      <c r="I5" s="542"/>
      <c r="J5" s="542"/>
      <c r="K5" s="542"/>
      <c r="L5" s="542"/>
      <c r="M5" s="542"/>
      <c r="N5" s="542"/>
      <c r="O5" s="542"/>
      <c r="P5" s="542"/>
      <c r="Q5" s="542"/>
      <c r="R5" s="542"/>
      <c r="S5" s="542"/>
      <c r="T5" s="542"/>
      <c r="U5" s="542"/>
      <c r="V5" s="542"/>
      <c r="W5" s="542"/>
      <c r="X5" s="542"/>
      <c r="Y5" s="542"/>
      <c r="Z5" s="542"/>
      <c r="AA5" s="542"/>
      <c r="AB5" s="103"/>
      <c r="AC5" s="104"/>
      <c r="AD5" s="103"/>
      <c r="AE5" s="235"/>
      <c r="AF5" s="235"/>
      <c r="AG5" s="235"/>
      <c r="AH5" s="235"/>
      <c r="AI5" s="239"/>
      <c r="AJ5" s="239"/>
      <c r="AK5" s="239"/>
      <c r="AL5" s="235"/>
      <c r="AM5" s="239"/>
      <c r="AN5" s="239"/>
      <c r="AO5" s="239"/>
      <c r="AP5" s="239"/>
      <c r="AQ5" s="239"/>
      <c r="AR5" s="239"/>
      <c r="AS5" s="239"/>
      <c r="AT5" s="239"/>
      <c r="AU5" s="240"/>
    </row>
    <row r="6" spans="1:48" ht="11.25" customHeight="1" thickBot="1" x14ac:dyDescent="0.25">
      <c r="A6" s="241"/>
      <c r="B6" s="242"/>
      <c r="C6" s="105"/>
      <c r="D6" s="105"/>
      <c r="E6" s="543" t="s">
        <v>183</v>
      </c>
      <c r="F6" s="543"/>
      <c r="G6" s="543"/>
      <c r="H6" s="543"/>
      <c r="I6" s="543"/>
      <c r="J6" s="543"/>
      <c r="K6" s="543"/>
      <c r="L6" s="543"/>
      <c r="M6" s="543"/>
      <c r="N6" s="543"/>
      <c r="O6" s="543"/>
      <c r="P6" s="543"/>
      <c r="Q6" s="543"/>
      <c r="R6" s="543"/>
      <c r="S6" s="543"/>
      <c r="T6" s="543"/>
      <c r="U6" s="543"/>
      <c r="V6" s="543"/>
      <c r="W6" s="543"/>
      <c r="X6" s="543"/>
      <c r="Y6" s="543"/>
      <c r="Z6" s="543"/>
      <c r="AA6" s="543"/>
      <c r="AB6" s="543"/>
      <c r="AC6" s="106"/>
      <c r="AD6" s="107"/>
      <c r="AE6" s="107"/>
      <c r="AF6" s="107"/>
      <c r="AG6" s="107"/>
      <c r="AH6" s="107"/>
      <c r="AI6" s="243"/>
      <c r="AJ6" s="243"/>
      <c r="AK6" s="243"/>
      <c r="AL6" s="243"/>
      <c r="AM6" s="243"/>
      <c r="AN6" s="243"/>
      <c r="AO6" s="243"/>
      <c r="AP6" s="243"/>
      <c r="AQ6" s="243"/>
      <c r="AR6" s="243"/>
      <c r="AS6" s="243"/>
      <c r="AT6" s="243"/>
      <c r="AU6" s="244"/>
    </row>
    <row r="7" spans="1:48" ht="9.75" customHeight="1" x14ac:dyDescent="0.2">
      <c r="A7" s="108" t="s">
        <v>184</v>
      </c>
      <c r="B7" s="109"/>
      <c r="C7" s="109"/>
      <c r="D7" s="109"/>
      <c r="E7" s="109"/>
      <c r="F7" s="109"/>
      <c r="G7" s="109"/>
      <c r="H7" s="110"/>
      <c r="I7" s="566" t="str">
        <f>Инфо!C3</f>
        <v>Проба ЕООД</v>
      </c>
      <c r="J7" s="507"/>
      <c r="K7" s="507"/>
      <c r="L7" s="507"/>
      <c r="M7" s="507"/>
      <c r="N7" s="507"/>
      <c r="O7" s="507"/>
      <c r="P7" s="507"/>
      <c r="Q7" s="507"/>
      <c r="R7" s="507"/>
      <c r="S7" s="507"/>
      <c r="T7" s="507"/>
      <c r="U7" s="507"/>
      <c r="V7" s="507"/>
      <c r="W7" s="507"/>
      <c r="X7" s="507"/>
      <c r="Y7" s="507"/>
      <c r="Z7" s="507"/>
      <c r="AA7" s="507"/>
      <c r="AB7" s="507"/>
      <c r="AC7" s="507"/>
      <c r="AD7" s="507"/>
      <c r="AE7" s="507"/>
      <c r="AF7" s="507"/>
      <c r="AG7" s="507"/>
      <c r="AH7" s="507"/>
      <c r="AI7" s="507"/>
      <c r="AJ7" s="507"/>
      <c r="AK7" s="507"/>
      <c r="AL7" s="507"/>
      <c r="AM7" s="507"/>
      <c r="AN7" s="507"/>
      <c r="AO7" s="507"/>
      <c r="AP7" s="567"/>
      <c r="AQ7" s="113" t="s">
        <v>185</v>
      </c>
      <c r="AR7" s="111"/>
      <c r="AS7" s="111"/>
      <c r="AT7" s="112"/>
      <c r="AU7" s="564">
        <f>IF(Инфо!C4="","",Инфо!C4)</f>
        <v>0</v>
      </c>
    </row>
    <row r="8" spans="1:48" ht="9.75" customHeight="1" x14ac:dyDescent="0.2">
      <c r="A8" s="114" t="s">
        <v>538</v>
      </c>
      <c r="B8" s="115"/>
      <c r="C8" s="115"/>
      <c r="D8" s="115"/>
      <c r="E8" s="115"/>
      <c r="F8" s="115"/>
      <c r="G8" s="115"/>
      <c r="H8" s="116"/>
      <c r="I8" s="568"/>
      <c r="J8" s="569"/>
      <c r="K8" s="569"/>
      <c r="L8" s="569"/>
      <c r="M8" s="569"/>
      <c r="N8" s="569"/>
      <c r="O8" s="569"/>
      <c r="P8" s="569"/>
      <c r="Q8" s="569"/>
      <c r="R8" s="569"/>
      <c r="S8" s="569"/>
      <c r="T8" s="569"/>
      <c r="U8" s="569"/>
      <c r="V8" s="569"/>
      <c r="W8" s="569"/>
      <c r="X8" s="569"/>
      <c r="Y8" s="569"/>
      <c r="Z8" s="569"/>
      <c r="AA8" s="569"/>
      <c r="AB8" s="569"/>
      <c r="AC8" s="569"/>
      <c r="AD8" s="569"/>
      <c r="AE8" s="569"/>
      <c r="AF8" s="569"/>
      <c r="AG8" s="569"/>
      <c r="AH8" s="569"/>
      <c r="AI8" s="569"/>
      <c r="AJ8" s="569"/>
      <c r="AK8" s="569"/>
      <c r="AL8" s="569"/>
      <c r="AM8" s="569"/>
      <c r="AN8" s="569"/>
      <c r="AO8" s="569"/>
      <c r="AP8" s="570"/>
      <c r="AQ8" s="119" t="s">
        <v>122</v>
      </c>
      <c r="AR8" s="117"/>
      <c r="AS8" s="117"/>
      <c r="AT8" s="118"/>
      <c r="AU8" s="565"/>
    </row>
    <row r="9" spans="1:48" ht="9.75" customHeight="1" x14ac:dyDescent="0.2">
      <c r="A9" s="585" t="s">
        <v>186</v>
      </c>
      <c r="B9" s="545"/>
      <c r="C9" s="545"/>
      <c r="D9" s="546"/>
      <c r="E9" s="571" t="str">
        <f>IF(Инфо!C5="","",Инфо!C5)</f>
        <v/>
      </c>
      <c r="F9" s="572"/>
      <c r="G9" s="572"/>
      <c r="H9" s="572"/>
      <c r="I9" s="572"/>
      <c r="J9" s="572"/>
      <c r="K9" s="572"/>
      <c r="L9" s="572"/>
      <c r="M9" s="572"/>
      <c r="N9" s="572"/>
      <c r="O9" s="572"/>
      <c r="P9" s="572"/>
      <c r="Q9" s="573"/>
      <c r="R9" s="544" t="s">
        <v>187</v>
      </c>
      <c r="S9" s="545"/>
      <c r="T9" s="545"/>
      <c r="U9" s="546"/>
      <c r="V9" s="571" t="str">
        <f>IF(Инфо!C6="","",Инфо!C6)</f>
        <v/>
      </c>
      <c r="W9" s="572"/>
      <c r="X9" s="572"/>
      <c r="Y9" s="572"/>
      <c r="Z9" s="572"/>
      <c r="AA9" s="572"/>
      <c r="AB9" s="572"/>
      <c r="AC9" s="572"/>
      <c r="AD9" s="572"/>
      <c r="AE9" s="572"/>
      <c r="AF9" s="572"/>
      <c r="AG9" s="573"/>
      <c r="AH9" s="544" t="s">
        <v>188</v>
      </c>
      <c r="AI9" s="545"/>
      <c r="AJ9" s="546"/>
      <c r="AK9" s="571" t="str">
        <f>IF(Инфо!C7="","",Инфо!C7)</f>
        <v/>
      </c>
      <c r="AL9" s="572"/>
      <c r="AM9" s="572"/>
      <c r="AN9" s="572"/>
      <c r="AO9" s="572"/>
      <c r="AP9" s="572"/>
      <c r="AQ9" s="572"/>
      <c r="AR9" s="572"/>
      <c r="AS9" s="572"/>
      <c r="AT9" s="572"/>
      <c r="AU9" s="577"/>
    </row>
    <row r="10" spans="1:48" ht="9.75" customHeight="1" thickBot="1" x14ac:dyDescent="0.25">
      <c r="A10" s="586"/>
      <c r="B10" s="548"/>
      <c r="C10" s="548"/>
      <c r="D10" s="549"/>
      <c r="E10" s="574"/>
      <c r="F10" s="575"/>
      <c r="G10" s="575"/>
      <c r="H10" s="575"/>
      <c r="I10" s="575"/>
      <c r="J10" s="575"/>
      <c r="K10" s="575"/>
      <c r="L10" s="575"/>
      <c r="M10" s="575"/>
      <c r="N10" s="575"/>
      <c r="O10" s="575"/>
      <c r="P10" s="575"/>
      <c r="Q10" s="576"/>
      <c r="R10" s="547"/>
      <c r="S10" s="548"/>
      <c r="T10" s="548"/>
      <c r="U10" s="549"/>
      <c r="V10" s="574"/>
      <c r="W10" s="575"/>
      <c r="X10" s="575"/>
      <c r="Y10" s="575"/>
      <c r="Z10" s="575"/>
      <c r="AA10" s="575"/>
      <c r="AB10" s="575"/>
      <c r="AC10" s="575"/>
      <c r="AD10" s="575"/>
      <c r="AE10" s="575"/>
      <c r="AF10" s="575"/>
      <c r="AG10" s="576"/>
      <c r="AH10" s="547"/>
      <c r="AI10" s="548"/>
      <c r="AJ10" s="549"/>
      <c r="AK10" s="574"/>
      <c r="AL10" s="575"/>
      <c r="AM10" s="575"/>
      <c r="AN10" s="575"/>
      <c r="AO10" s="575"/>
      <c r="AP10" s="575"/>
      <c r="AQ10" s="575"/>
      <c r="AR10" s="575"/>
      <c r="AS10" s="575"/>
      <c r="AT10" s="575"/>
      <c r="AU10" s="578"/>
    </row>
    <row r="11" spans="1:48" ht="9.75" customHeight="1" thickTop="1" x14ac:dyDescent="0.2">
      <c r="A11" s="304"/>
      <c r="B11" s="305"/>
      <c r="C11" s="305"/>
      <c r="D11" s="305"/>
      <c r="E11" s="305"/>
      <c r="F11" s="306"/>
      <c r="G11" s="306"/>
      <c r="H11" s="306"/>
      <c r="I11" s="307"/>
      <c r="J11" s="307"/>
      <c r="K11" s="308"/>
      <c r="L11" s="120" t="s">
        <v>189</v>
      </c>
      <c r="M11" s="120"/>
      <c r="N11" s="120"/>
      <c r="O11" s="120"/>
      <c r="P11" s="560" t="str">
        <f>IF(Инфо!F15="","",Инфо!F15)</f>
        <v/>
      </c>
      <c r="Q11" s="562" t="s">
        <v>190</v>
      </c>
      <c r="R11" s="562"/>
      <c r="S11" s="562"/>
      <c r="T11" s="563"/>
      <c r="U11" s="121" t="s">
        <v>191</v>
      </c>
      <c r="V11" s="120"/>
      <c r="W11" s="120"/>
      <c r="X11" s="120"/>
      <c r="Y11" s="560" t="str">
        <f>IF(Инфо!H15="","",Инфо!H15)</f>
        <v/>
      </c>
      <c r="Z11" s="562" t="s">
        <v>192</v>
      </c>
      <c r="AA11" s="562"/>
      <c r="AB11" s="562"/>
      <c r="AC11" s="563"/>
      <c r="AD11" s="121" t="s">
        <v>193</v>
      </c>
      <c r="AE11" s="120"/>
      <c r="AF11" s="120"/>
      <c r="AG11" s="120"/>
      <c r="AH11" s="560" t="str">
        <f>IF(Инфо!J15="","",Инфо!J15)</f>
        <v/>
      </c>
      <c r="AI11" s="562" t="s">
        <v>194</v>
      </c>
      <c r="AJ11" s="562"/>
      <c r="AK11" s="562"/>
      <c r="AL11" s="563"/>
      <c r="AM11" s="121" t="s">
        <v>195</v>
      </c>
      <c r="AN11" s="120"/>
      <c r="AO11" s="120"/>
      <c r="AP11" s="120"/>
      <c r="AQ11" s="560" t="str">
        <f>IF(Инфо!L15="","",Инфо!L15)</f>
        <v/>
      </c>
      <c r="AR11" s="562" t="s">
        <v>196</v>
      </c>
      <c r="AS11" s="562"/>
      <c r="AT11" s="562"/>
      <c r="AU11" s="563"/>
    </row>
    <row r="12" spans="1:48" ht="9.75" customHeight="1" thickBot="1" x14ac:dyDescent="0.25">
      <c r="A12" s="309"/>
      <c r="B12" s="310"/>
      <c r="C12" s="310"/>
      <c r="D12" s="310"/>
      <c r="E12" s="311"/>
      <c r="F12" s="307"/>
      <c r="G12" s="307"/>
      <c r="H12" s="307"/>
      <c r="I12" s="307"/>
      <c r="J12" s="307"/>
      <c r="K12" s="308"/>
      <c r="L12" s="122" t="s">
        <v>121</v>
      </c>
      <c r="M12" s="122"/>
      <c r="N12" s="122"/>
      <c r="O12" s="122"/>
      <c r="P12" s="561"/>
      <c r="Q12" s="312" t="s">
        <v>197</v>
      </c>
      <c r="R12" s="312"/>
      <c r="S12" s="313"/>
      <c r="T12" s="314"/>
      <c r="U12" s="123" t="s">
        <v>121</v>
      </c>
      <c r="V12" s="122"/>
      <c r="W12" s="122"/>
      <c r="X12" s="122"/>
      <c r="Y12" s="561"/>
      <c r="Z12" s="315" t="s">
        <v>197</v>
      </c>
      <c r="AA12" s="312"/>
      <c r="AB12" s="313"/>
      <c r="AC12" s="314"/>
      <c r="AD12" s="122" t="s">
        <v>121</v>
      </c>
      <c r="AE12" s="122"/>
      <c r="AF12" s="122"/>
      <c r="AG12" s="122"/>
      <c r="AH12" s="561"/>
      <c r="AI12" s="315" t="s">
        <v>197</v>
      </c>
      <c r="AJ12" s="312"/>
      <c r="AK12" s="313"/>
      <c r="AL12" s="314"/>
      <c r="AM12" s="123" t="s">
        <v>121</v>
      </c>
      <c r="AN12" s="122"/>
      <c r="AO12" s="122"/>
      <c r="AP12" s="122"/>
      <c r="AQ12" s="561"/>
      <c r="AR12" s="315" t="s">
        <v>197</v>
      </c>
      <c r="AS12" s="312"/>
      <c r="AT12" s="313"/>
      <c r="AU12" s="314"/>
    </row>
    <row r="13" spans="1:48" ht="9.75" customHeight="1" thickTop="1" x14ac:dyDescent="0.2">
      <c r="A13" s="550" t="s">
        <v>198</v>
      </c>
      <c r="B13" s="551"/>
      <c r="C13" s="551"/>
      <c r="D13" s="551"/>
      <c r="E13" s="551"/>
      <c r="F13" s="551"/>
      <c r="G13" s="551"/>
      <c r="H13" s="551"/>
      <c r="I13" s="551"/>
      <c r="J13" s="551"/>
      <c r="K13" s="552"/>
      <c r="L13" s="341"/>
      <c r="M13" s="342"/>
      <c r="N13" s="341"/>
      <c r="O13" s="343"/>
      <c r="P13" s="343"/>
      <c r="Q13" s="344"/>
      <c r="R13" s="345"/>
      <c r="S13" s="556" t="str">
        <f>IF(Инфо!F16="","",Инфо!F16)</f>
        <v/>
      </c>
      <c r="T13" s="557"/>
      <c r="U13" s="346"/>
      <c r="V13" s="342"/>
      <c r="W13" s="341"/>
      <c r="X13" s="343"/>
      <c r="Y13" s="343"/>
      <c r="Z13" s="344"/>
      <c r="AA13" s="345"/>
      <c r="AB13" s="556" t="str">
        <f>IF(Инфо!H16="","",Инфо!H16)</f>
        <v/>
      </c>
      <c r="AC13" s="557"/>
      <c r="AD13" s="341"/>
      <c r="AE13" s="342"/>
      <c r="AF13" s="341"/>
      <c r="AG13" s="343"/>
      <c r="AH13" s="343"/>
      <c r="AI13" s="344"/>
      <c r="AJ13" s="347"/>
      <c r="AK13" s="556" t="str">
        <f>IF(Инфо!J16="","",Инфо!J16)</f>
        <v/>
      </c>
      <c r="AL13" s="557"/>
      <c r="AM13" s="346"/>
      <c r="AN13" s="342"/>
      <c r="AO13" s="341"/>
      <c r="AP13" s="343"/>
      <c r="AQ13" s="343"/>
      <c r="AR13" s="344"/>
      <c r="AS13" s="345"/>
      <c r="AT13" s="556" t="str">
        <f>IF(Инфо!L16="","",Инфо!L16)</f>
        <v/>
      </c>
      <c r="AU13" s="557"/>
    </row>
    <row r="14" spans="1:48" ht="9.75" customHeight="1" thickBot="1" x14ac:dyDescent="0.25">
      <c r="A14" s="553"/>
      <c r="B14" s="554"/>
      <c r="C14" s="554"/>
      <c r="D14" s="554"/>
      <c r="E14" s="554"/>
      <c r="F14" s="554"/>
      <c r="G14" s="554"/>
      <c r="H14" s="554"/>
      <c r="I14" s="554"/>
      <c r="J14" s="554"/>
      <c r="K14" s="555"/>
      <c r="L14" s="348" t="str">
        <f>IF(LEN(Инфо!F17)=1,0,MID(Инфо!F17,1,1))</f>
        <v/>
      </c>
      <c r="M14" s="349" t="str">
        <f>IF(LEN(Инфо!F17)=1,Инфо!F17,MID(Инфо!F17,2,1))</f>
        <v/>
      </c>
      <c r="N14" s="348" t="str">
        <f>MID(Инфо!G17,1,1)</f>
        <v/>
      </c>
      <c r="O14" s="350" t="str">
        <f>MID(Инфо!G17,2,1)</f>
        <v/>
      </c>
      <c r="P14" s="350" t="str">
        <f>MID(Инфо!G17,3,1)</f>
        <v/>
      </c>
      <c r="Q14" s="350" t="str">
        <f>MID(Инфо!G17,4,1)</f>
        <v/>
      </c>
      <c r="R14" s="351" t="s">
        <v>199</v>
      </c>
      <c r="S14" s="558"/>
      <c r="T14" s="559"/>
      <c r="U14" s="348" t="str">
        <f>IF(LEN(Инфо!H17)=1,0,MID(Инфо!H17,1,1))</f>
        <v/>
      </c>
      <c r="V14" s="349" t="str">
        <f>IF(LEN(Инфо!H17)=1,Инфо!H17,MID(Инфо!H17,2,1))</f>
        <v/>
      </c>
      <c r="W14" s="348" t="str">
        <f>MID(Инфо!I17,1,1)</f>
        <v/>
      </c>
      <c r="X14" s="350" t="str">
        <f>MID(Инфо!I17,2,1)</f>
        <v/>
      </c>
      <c r="Y14" s="350" t="str">
        <f>MID(Инфо!I17,3,1)</f>
        <v/>
      </c>
      <c r="Z14" s="350" t="str">
        <f>MID(Инфо!I17,4,1)</f>
        <v/>
      </c>
      <c r="AA14" s="351" t="s">
        <v>199</v>
      </c>
      <c r="AB14" s="558"/>
      <c r="AC14" s="559"/>
      <c r="AD14" s="348" t="str">
        <f>IF(LEN(Инфо!J17)=1,0,MID(Инфо!J17,1,1))</f>
        <v/>
      </c>
      <c r="AE14" s="349" t="str">
        <f>IF(LEN(Инфо!J17)=1,Инфо!J17,MID(Инфо!J17,2,1))</f>
        <v/>
      </c>
      <c r="AF14" s="348" t="str">
        <f>MID(Инфо!K17,1,1)</f>
        <v/>
      </c>
      <c r="AG14" s="350" t="str">
        <f>MID(Инфо!K17,2,1)</f>
        <v/>
      </c>
      <c r="AH14" s="350" t="str">
        <f>MID(Инфо!K17,3,1)</f>
        <v/>
      </c>
      <c r="AI14" s="350" t="str">
        <f>MID(Инфо!K17,4,1)</f>
        <v/>
      </c>
      <c r="AJ14" s="351" t="s">
        <v>199</v>
      </c>
      <c r="AK14" s="558"/>
      <c r="AL14" s="559"/>
      <c r="AM14" s="352" t="str">
        <f>IF(LEN(Инфо!L17)=1,0,MID(Инфо!L17,1,1))</f>
        <v/>
      </c>
      <c r="AN14" s="349" t="str">
        <f>IF(LEN(Инфо!L17)=1,Инфо!L17,MID(Инфо!L17,2,1))</f>
        <v/>
      </c>
      <c r="AO14" s="348" t="str">
        <f>MID(Инфо!M17,1,1)</f>
        <v/>
      </c>
      <c r="AP14" s="350" t="str">
        <f>MID(Инфо!M17,2,1)</f>
        <v/>
      </c>
      <c r="AQ14" s="350" t="str">
        <f>MID(Инфо!M17,3,1)</f>
        <v/>
      </c>
      <c r="AR14" s="350" t="str">
        <f>MID(Инфо!M17,4,1)</f>
        <v/>
      </c>
      <c r="AS14" s="351" t="s">
        <v>199</v>
      </c>
      <c r="AT14" s="558"/>
      <c r="AU14" s="559"/>
    </row>
    <row r="15" spans="1:48" ht="9.75" customHeight="1" x14ac:dyDescent="0.2">
      <c r="A15" s="530" t="s">
        <v>200</v>
      </c>
      <c r="B15" s="531"/>
      <c r="C15" s="531"/>
      <c r="D15" s="531"/>
      <c r="E15" s="531"/>
      <c r="F15" s="531"/>
      <c r="G15" s="531"/>
      <c r="H15" s="531"/>
      <c r="I15" s="531"/>
      <c r="J15" s="531"/>
      <c r="K15" s="532"/>
      <c r="L15" s="524" t="str">
        <f>IF(Инфо!F18="","",Инфо!F18)</f>
        <v/>
      </c>
      <c r="M15" s="525"/>
      <c r="N15" s="525"/>
      <c r="O15" s="525"/>
      <c r="P15" s="525"/>
      <c r="Q15" s="525"/>
      <c r="R15" s="525"/>
      <c r="S15" s="525"/>
      <c r="T15" s="526"/>
      <c r="U15" s="524" t="str">
        <f>IF(Инфо!H18="","",Инфо!H18)</f>
        <v/>
      </c>
      <c r="V15" s="525"/>
      <c r="W15" s="525"/>
      <c r="X15" s="525"/>
      <c r="Y15" s="525"/>
      <c r="Z15" s="525"/>
      <c r="AA15" s="525"/>
      <c r="AB15" s="525"/>
      <c r="AC15" s="526"/>
      <c r="AD15" s="524" t="str">
        <f>IF(Инфо!J18="","",Инфо!J18)</f>
        <v/>
      </c>
      <c r="AE15" s="525"/>
      <c r="AF15" s="525"/>
      <c r="AG15" s="525"/>
      <c r="AH15" s="525"/>
      <c r="AI15" s="525"/>
      <c r="AJ15" s="525"/>
      <c r="AK15" s="525"/>
      <c r="AL15" s="526"/>
      <c r="AM15" s="524" t="str">
        <f>IF(Инфо!L18="","",Инфо!L18)</f>
        <v/>
      </c>
      <c r="AN15" s="525"/>
      <c r="AO15" s="525"/>
      <c r="AP15" s="525"/>
      <c r="AQ15" s="525"/>
      <c r="AR15" s="525"/>
      <c r="AS15" s="525"/>
      <c r="AT15" s="525"/>
      <c r="AU15" s="526"/>
    </row>
    <row r="16" spans="1:48" ht="9.75" customHeight="1" x14ac:dyDescent="0.2">
      <c r="A16" s="533"/>
      <c r="B16" s="534"/>
      <c r="C16" s="534"/>
      <c r="D16" s="534"/>
      <c r="E16" s="534"/>
      <c r="F16" s="534"/>
      <c r="G16" s="534"/>
      <c r="H16" s="534"/>
      <c r="I16" s="534"/>
      <c r="J16" s="534"/>
      <c r="K16" s="535"/>
      <c r="L16" s="527"/>
      <c r="M16" s="528"/>
      <c r="N16" s="528"/>
      <c r="O16" s="528"/>
      <c r="P16" s="528"/>
      <c r="Q16" s="528"/>
      <c r="R16" s="528"/>
      <c r="S16" s="528"/>
      <c r="T16" s="529"/>
      <c r="U16" s="527"/>
      <c r="V16" s="528"/>
      <c r="W16" s="528"/>
      <c r="X16" s="528"/>
      <c r="Y16" s="528"/>
      <c r="Z16" s="528"/>
      <c r="AA16" s="528"/>
      <c r="AB16" s="528"/>
      <c r="AC16" s="529"/>
      <c r="AD16" s="527"/>
      <c r="AE16" s="528"/>
      <c r="AF16" s="528"/>
      <c r="AG16" s="528"/>
      <c r="AH16" s="528"/>
      <c r="AI16" s="528"/>
      <c r="AJ16" s="528"/>
      <c r="AK16" s="528"/>
      <c r="AL16" s="529"/>
      <c r="AM16" s="527"/>
      <c r="AN16" s="528"/>
      <c r="AO16" s="528"/>
      <c r="AP16" s="528"/>
      <c r="AQ16" s="528"/>
      <c r="AR16" s="528"/>
      <c r="AS16" s="528"/>
      <c r="AT16" s="528"/>
      <c r="AU16" s="529"/>
    </row>
    <row r="17" spans="1:55" ht="9.75" customHeight="1" x14ac:dyDescent="0.2">
      <c r="A17" s="108" t="s">
        <v>201</v>
      </c>
      <c r="B17" s="109"/>
      <c r="C17" s="109"/>
      <c r="D17" s="109"/>
      <c r="E17" s="109"/>
      <c r="F17" s="109"/>
      <c r="G17" s="109"/>
      <c r="H17" s="109"/>
      <c r="I17" s="109"/>
      <c r="J17" s="109"/>
      <c r="K17" s="124"/>
      <c r="L17" s="579" t="str">
        <f>IF(Инфо!F19="","",Инфо!F19)</f>
        <v/>
      </c>
      <c r="M17" s="580"/>
      <c r="N17" s="580"/>
      <c r="O17" s="580"/>
      <c r="P17" s="580"/>
      <c r="Q17" s="580"/>
      <c r="R17" s="580"/>
      <c r="S17" s="580"/>
      <c r="T17" s="581"/>
      <c r="U17" s="579" t="str">
        <f>IF(Инфо!H19="","",Инфо!H19)</f>
        <v/>
      </c>
      <c r="V17" s="580"/>
      <c r="W17" s="580"/>
      <c r="X17" s="580"/>
      <c r="Y17" s="580"/>
      <c r="Z17" s="580"/>
      <c r="AA17" s="580"/>
      <c r="AB17" s="580"/>
      <c r="AC17" s="581"/>
      <c r="AD17" s="579" t="str">
        <f>IF(Инфо!J19="","",Инфо!J19)</f>
        <v/>
      </c>
      <c r="AE17" s="580"/>
      <c r="AF17" s="580"/>
      <c r="AG17" s="580"/>
      <c r="AH17" s="580"/>
      <c r="AI17" s="580"/>
      <c r="AJ17" s="580"/>
      <c r="AK17" s="580"/>
      <c r="AL17" s="581"/>
      <c r="AM17" s="579" t="str">
        <f>IF(Инфо!L19="","",Инфо!L19)</f>
        <v/>
      </c>
      <c r="AN17" s="580"/>
      <c r="AO17" s="580"/>
      <c r="AP17" s="580"/>
      <c r="AQ17" s="580"/>
      <c r="AR17" s="580"/>
      <c r="AS17" s="580"/>
      <c r="AT17" s="580"/>
      <c r="AU17" s="581"/>
    </row>
    <row r="18" spans="1:55" ht="9.75" customHeight="1" x14ac:dyDescent="0.2">
      <c r="A18" s="125" t="s">
        <v>202</v>
      </c>
      <c r="B18" s="111"/>
      <c r="C18" s="126"/>
      <c r="D18" s="126"/>
      <c r="E18" s="126"/>
      <c r="F18" s="126"/>
      <c r="G18" s="126"/>
      <c r="H18" s="126"/>
      <c r="I18" s="126"/>
      <c r="J18" s="126"/>
      <c r="K18" s="127"/>
      <c r="L18" s="527"/>
      <c r="M18" s="528"/>
      <c r="N18" s="528"/>
      <c r="O18" s="528"/>
      <c r="P18" s="528"/>
      <c r="Q18" s="528"/>
      <c r="R18" s="528"/>
      <c r="S18" s="528"/>
      <c r="T18" s="529"/>
      <c r="U18" s="527"/>
      <c r="V18" s="528"/>
      <c r="W18" s="528"/>
      <c r="X18" s="528"/>
      <c r="Y18" s="528"/>
      <c r="Z18" s="528"/>
      <c r="AA18" s="528"/>
      <c r="AB18" s="528"/>
      <c r="AC18" s="529"/>
      <c r="AD18" s="527"/>
      <c r="AE18" s="528"/>
      <c r="AF18" s="528"/>
      <c r="AG18" s="528"/>
      <c r="AH18" s="528"/>
      <c r="AI18" s="528"/>
      <c r="AJ18" s="528"/>
      <c r="AK18" s="528"/>
      <c r="AL18" s="529"/>
      <c r="AM18" s="527"/>
      <c r="AN18" s="528"/>
      <c r="AO18" s="528"/>
      <c r="AP18" s="528"/>
      <c r="AQ18" s="528"/>
      <c r="AR18" s="528"/>
      <c r="AS18" s="528"/>
      <c r="AT18" s="528"/>
      <c r="AU18" s="529"/>
    </row>
    <row r="19" spans="1:55" ht="9.75" customHeight="1" x14ac:dyDescent="0.2">
      <c r="A19" s="128" t="s">
        <v>203</v>
      </c>
      <c r="B19" s="129"/>
      <c r="C19" s="129"/>
      <c r="D19" s="129"/>
      <c r="E19" s="129"/>
      <c r="F19" s="129"/>
      <c r="G19" s="129"/>
      <c r="H19" s="129"/>
      <c r="I19" s="129"/>
      <c r="J19" s="129"/>
      <c r="K19" s="130"/>
      <c r="L19" s="579" t="str">
        <f>IF(Инфо!F20="","",Инфо!F20)</f>
        <v/>
      </c>
      <c r="M19" s="580"/>
      <c r="N19" s="580"/>
      <c r="O19" s="580"/>
      <c r="P19" s="580"/>
      <c r="Q19" s="580"/>
      <c r="R19" s="580"/>
      <c r="S19" s="580"/>
      <c r="T19" s="581"/>
      <c r="U19" s="579" t="str">
        <f>IF(Инфо!H20="","",Инфо!H20)</f>
        <v/>
      </c>
      <c r="V19" s="580"/>
      <c r="W19" s="580"/>
      <c r="X19" s="580"/>
      <c r="Y19" s="580"/>
      <c r="Z19" s="580"/>
      <c r="AA19" s="580"/>
      <c r="AB19" s="580"/>
      <c r="AC19" s="581"/>
      <c r="AD19" s="579" t="str">
        <f>IF(Инфо!J20="","",Инфо!J20)</f>
        <v/>
      </c>
      <c r="AE19" s="580"/>
      <c r="AF19" s="580"/>
      <c r="AG19" s="580"/>
      <c r="AH19" s="580"/>
      <c r="AI19" s="580"/>
      <c r="AJ19" s="580"/>
      <c r="AK19" s="580"/>
      <c r="AL19" s="581"/>
      <c r="AM19" s="579" t="str">
        <f>IF(Инфо!L20="","",Инфо!L20)</f>
        <v/>
      </c>
      <c r="AN19" s="580"/>
      <c r="AO19" s="580"/>
      <c r="AP19" s="580"/>
      <c r="AQ19" s="580"/>
      <c r="AR19" s="580"/>
      <c r="AS19" s="580"/>
      <c r="AT19" s="580"/>
      <c r="AU19" s="581"/>
      <c r="BC19" s="329"/>
    </row>
    <row r="20" spans="1:55" ht="9.75" customHeight="1" x14ac:dyDescent="0.2">
      <c r="A20" s="125" t="s">
        <v>23</v>
      </c>
      <c r="B20" s="111"/>
      <c r="C20" s="115"/>
      <c r="D20" s="115"/>
      <c r="E20" s="115"/>
      <c r="F20" s="115"/>
      <c r="G20" s="115"/>
      <c r="H20" s="115"/>
      <c r="I20" s="115"/>
      <c r="J20" s="115"/>
      <c r="K20" s="127"/>
      <c r="L20" s="527"/>
      <c r="M20" s="528"/>
      <c r="N20" s="528"/>
      <c r="O20" s="528"/>
      <c r="P20" s="528"/>
      <c r="Q20" s="528"/>
      <c r="R20" s="528"/>
      <c r="S20" s="528"/>
      <c r="T20" s="529"/>
      <c r="U20" s="527"/>
      <c r="V20" s="528"/>
      <c r="W20" s="528"/>
      <c r="X20" s="528"/>
      <c r="Y20" s="528"/>
      <c r="Z20" s="528"/>
      <c r="AA20" s="528"/>
      <c r="AB20" s="528"/>
      <c r="AC20" s="529"/>
      <c r="AD20" s="527"/>
      <c r="AE20" s="528"/>
      <c r="AF20" s="528"/>
      <c r="AG20" s="528"/>
      <c r="AH20" s="528"/>
      <c r="AI20" s="528"/>
      <c r="AJ20" s="528"/>
      <c r="AK20" s="528"/>
      <c r="AL20" s="529"/>
      <c r="AM20" s="527"/>
      <c r="AN20" s="528"/>
      <c r="AO20" s="528"/>
      <c r="AP20" s="528"/>
      <c r="AQ20" s="528"/>
      <c r="AR20" s="528"/>
      <c r="AS20" s="528"/>
      <c r="AT20" s="528"/>
      <c r="AU20" s="529"/>
    </row>
    <row r="21" spans="1:55" ht="9.75" customHeight="1" x14ac:dyDescent="0.2">
      <c r="A21" s="128" t="s">
        <v>204</v>
      </c>
      <c r="B21" s="129"/>
      <c r="C21" s="129"/>
      <c r="D21" s="129"/>
      <c r="E21" s="129"/>
      <c r="F21" s="129"/>
      <c r="G21" s="129"/>
      <c r="H21" s="129"/>
      <c r="I21" s="129"/>
      <c r="J21" s="129"/>
      <c r="K21" s="130"/>
      <c r="L21" s="579" t="str">
        <f>IF(Инфо!F21="","",Инфо!F21)</f>
        <v/>
      </c>
      <c r="M21" s="580"/>
      <c r="N21" s="580"/>
      <c r="O21" s="580"/>
      <c r="P21" s="580"/>
      <c r="Q21" s="580"/>
      <c r="R21" s="580"/>
      <c r="S21" s="580"/>
      <c r="T21" s="581"/>
      <c r="U21" s="579" t="str">
        <f>IF(Инфо!H21="","",Инфо!H21)</f>
        <v/>
      </c>
      <c r="V21" s="580"/>
      <c r="W21" s="580"/>
      <c r="X21" s="580"/>
      <c r="Y21" s="580"/>
      <c r="Z21" s="580"/>
      <c r="AA21" s="580"/>
      <c r="AB21" s="580"/>
      <c r="AC21" s="581"/>
      <c r="AD21" s="579" t="str">
        <f>IF(Инфо!J21="","",Инфо!J21)</f>
        <v/>
      </c>
      <c r="AE21" s="580"/>
      <c r="AF21" s="580"/>
      <c r="AG21" s="580"/>
      <c r="AH21" s="580"/>
      <c r="AI21" s="580"/>
      <c r="AJ21" s="580"/>
      <c r="AK21" s="580"/>
      <c r="AL21" s="581"/>
      <c r="AM21" s="579" t="str">
        <f>IF(Инфо!L21="","",Инфо!L21)</f>
        <v/>
      </c>
      <c r="AN21" s="580"/>
      <c r="AO21" s="580"/>
      <c r="AP21" s="580"/>
      <c r="AQ21" s="580"/>
      <c r="AR21" s="580"/>
      <c r="AS21" s="580"/>
      <c r="AT21" s="580"/>
      <c r="AU21" s="581"/>
    </row>
    <row r="22" spans="1:55" ht="9.75" customHeight="1" x14ac:dyDescent="0.2">
      <c r="A22" s="125" t="s">
        <v>205</v>
      </c>
      <c r="B22" s="111"/>
      <c r="C22" s="126"/>
      <c r="D22" s="126"/>
      <c r="E22" s="126"/>
      <c r="F22" s="126"/>
      <c r="G22" s="126"/>
      <c r="H22" s="126"/>
      <c r="I22" s="126"/>
      <c r="J22" s="126"/>
      <c r="K22" s="131"/>
      <c r="L22" s="527"/>
      <c r="M22" s="528"/>
      <c r="N22" s="528"/>
      <c r="O22" s="528"/>
      <c r="P22" s="528"/>
      <c r="Q22" s="528"/>
      <c r="R22" s="528"/>
      <c r="S22" s="528"/>
      <c r="T22" s="529"/>
      <c r="U22" s="527"/>
      <c r="V22" s="528"/>
      <c r="W22" s="528"/>
      <c r="X22" s="528"/>
      <c r="Y22" s="528"/>
      <c r="Z22" s="528"/>
      <c r="AA22" s="528"/>
      <c r="AB22" s="528"/>
      <c r="AC22" s="529"/>
      <c r="AD22" s="527"/>
      <c r="AE22" s="528"/>
      <c r="AF22" s="528"/>
      <c r="AG22" s="528"/>
      <c r="AH22" s="528"/>
      <c r="AI22" s="528"/>
      <c r="AJ22" s="528"/>
      <c r="AK22" s="528"/>
      <c r="AL22" s="529"/>
      <c r="AM22" s="527"/>
      <c r="AN22" s="528"/>
      <c r="AO22" s="528"/>
      <c r="AP22" s="528"/>
      <c r="AQ22" s="528"/>
      <c r="AR22" s="528"/>
      <c r="AS22" s="528"/>
      <c r="AT22" s="528"/>
      <c r="AU22" s="529"/>
    </row>
    <row r="23" spans="1:55" ht="9.75" customHeight="1" x14ac:dyDescent="0.2">
      <c r="A23" s="128" t="s">
        <v>206</v>
      </c>
      <c r="B23" s="129"/>
      <c r="C23" s="129"/>
      <c r="D23" s="129"/>
      <c r="E23" s="129"/>
      <c r="F23" s="129"/>
      <c r="G23" s="129"/>
      <c r="H23" s="129"/>
      <c r="I23" s="129"/>
      <c r="J23" s="129"/>
      <c r="K23" s="130"/>
      <c r="L23" s="579" t="str">
        <f>IF(Инфо!F22="","",Инфо!F22)</f>
        <v/>
      </c>
      <c r="M23" s="580"/>
      <c r="N23" s="580"/>
      <c r="O23" s="580"/>
      <c r="P23" s="580"/>
      <c r="Q23" s="580"/>
      <c r="R23" s="580"/>
      <c r="S23" s="580"/>
      <c r="T23" s="581"/>
      <c r="U23" s="579" t="str">
        <f>IF(Инфо!H22="","",Инфо!H22)</f>
        <v/>
      </c>
      <c r="V23" s="580"/>
      <c r="W23" s="580"/>
      <c r="X23" s="580"/>
      <c r="Y23" s="580"/>
      <c r="Z23" s="580"/>
      <c r="AA23" s="580"/>
      <c r="AB23" s="580"/>
      <c r="AC23" s="581"/>
      <c r="AD23" s="579" t="str">
        <f>IF(Инфо!J22="","",Инфо!J22)</f>
        <v/>
      </c>
      <c r="AE23" s="580"/>
      <c r="AF23" s="580"/>
      <c r="AG23" s="580"/>
      <c r="AH23" s="580"/>
      <c r="AI23" s="580"/>
      <c r="AJ23" s="580"/>
      <c r="AK23" s="580"/>
      <c r="AL23" s="581"/>
      <c r="AM23" s="579" t="str">
        <f>IF(Инфо!L22="","",Инфо!L22)</f>
        <v/>
      </c>
      <c r="AN23" s="580"/>
      <c r="AO23" s="580"/>
      <c r="AP23" s="580"/>
      <c r="AQ23" s="580"/>
      <c r="AR23" s="580"/>
      <c r="AS23" s="580"/>
      <c r="AT23" s="580"/>
      <c r="AU23" s="581"/>
    </row>
    <row r="24" spans="1:55" ht="9.75" customHeight="1" x14ac:dyDescent="0.2">
      <c r="A24" s="125" t="s">
        <v>207</v>
      </c>
      <c r="B24" s="111"/>
      <c r="C24" s="126"/>
      <c r="D24" s="126"/>
      <c r="E24" s="126"/>
      <c r="F24" s="126"/>
      <c r="G24" s="126"/>
      <c r="H24" s="126"/>
      <c r="I24" s="126"/>
      <c r="J24" s="126"/>
      <c r="K24" s="127"/>
      <c r="L24" s="527"/>
      <c r="M24" s="528"/>
      <c r="N24" s="528"/>
      <c r="O24" s="528"/>
      <c r="P24" s="528"/>
      <c r="Q24" s="528"/>
      <c r="R24" s="528"/>
      <c r="S24" s="528"/>
      <c r="T24" s="529"/>
      <c r="U24" s="527"/>
      <c r="V24" s="528"/>
      <c r="W24" s="528"/>
      <c r="X24" s="528"/>
      <c r="Y24" s="528"/>
      <c r="Z24" s="528"/>
      <c r="AA24" s="528"/>
      <c r="AB24" s="528"/>
      <c r="AC24" s="529"/>
      <c r="AD24" s="527"/>
      <c r="AE24" s="528"/>
      <c r="AF24" s="528"/>
      <c r="AG24" s="528"/>
      <c r="AH24" s="528"/>
      <c r="AI24" s="528"/>
      <c r="AJ24" s="528"/>
      <c r="AK24" s="528"/>
      <c r="AL24" s="529"/>
      <c r="AM24" s="527"/>
      <c r="AN24" s="528"/>
      <c r="AO24" s="528"/>
      <c r="AP24" s="528"/>
      <c r="AQ24" s="528"/>
      <c r="AR24" s="528"/>
      <c r="AS24" s="528"/>
      <c r="AT24" s="528"/>
      <c r="AU24" s="529"/>
    </row>
    <row r="25" spans="1:55" ht="9.75" customHeight="1" x14ac:dyDescent="0.2">
      <c r="A25" s="128" t="s">
        <v>208</v>
      </c>
      <c r="B25" s="129"/>
      <c r="C25" s="129"/>
      <c r="D25" s="129"/>
      <c r="E25" s="129"/>
      <c r="F25" s="129"/>
      <c r="G25" s="129"/>
      <c r="H25" s="129"/>
      <c r="I25" s="129"/>
      <c r="J25" s="129"/>
      <c r="K25" s="130"/>
      <c r="L25" s="579" t="str">
        <f>IF(Инфо!F23="","",Инфо!F23)</f>
        <v/>
      </c>
      <c r="M25" s="580"/>
      <c r="N25" s="580"/>
      <c r="O25" s="580"/>
      <c r="P25" s="580"/>
      <c r="Q25" s="580"/>
      <c r="R25" s="580"/>
      <c r="S25" s="580"/>
      <c r="T25" s="581"/>
      <c r="U25" s="579" t="str">
        <f>IF(Инфо!H23="","",Инфо!H23)</f>
        <v/>
      </c>
      <c r="V25" s="580"/>
      <c r="W25" s="580"/>
      <c r="X25" s="580"/>
      <c r="Y25" s="580"/>
      <c r="Z25" s="580"/>
      <c r="AA25" s="580"/>
      <c r="AB25" s="580"/>
      <c r="AC25" s="581"/>
      <c r="AD25" s="579" t="str">
        <f>IF(Инфо!J23="","",Инфо!J23)</f>
        <v/>
      </c>
      <c r="AE25" s="580"/>
      <c r="AF25" s="580"/>
      <c r="AG25" s="580"/>
      <c r="AH25" s="580"/>
      <c r="AI25" s="580"/>
      <c r="AJ25" s="580"/>
      <c r="AK25" s="580"/>
      <c r="AL25" s="581"/>
      <c r="AM25" s="579" t="str">
        <f>IF(Инфо!L23="","",Инфо!L23)</f>
        <v/>
      </c>
      <c r="AN25" s="580"/>
      <c r="AO25" s="580"/>
      <c r="AP25" s="580"/>
      <c r="AQ25" s="580"/>
      <c r="AR25" s="580"/>
      <c r="AS25" s="580"/>
      <c r="AT25" s="580"/>
      <c r="AU25" s="581"/>
    </row>
    <row r="26" spans="1:55" ht="9.75" customHeight="1" x14ac:dyDescent="0.2">
      <c r="A26" s="125" t="s">
        <v>209</v>
      </c>
      <c r="B26" s="117"/>
      <c r="C26" s="115"/>
      <c r="D26" s="115"/>
      <c r="E26" s="115"/>
      <c r="F26" s="115"/>
      <c r="G26" s="115"/>
      <c r="H26" s="115"/>
      <c r="I26" s="115"/>
      <c r="J26" s="115"/>
      <c r="K26" s="127"/>
      <c r="L26" s="527"/>
      <c r="M26" s="528"/>
      <c r="N26" s="528"/>
      <c r="O26" s="528"/>
      <c r="P26" s="528"/>
      <c r="Q26" s="528"/>
      <c r="R26" s="528"/>
      <c r="S26" s="528"/>
      <c r="T26" s="529"/>
      <c r="U26" s="527"/>
      <c r="V26" s="528"/>
      <c r="W26" s="528"/>
      <c r="X26" s="528"/>
      <c r="Y26" s="528"/>
      <c r="Z26" s="528"/>
      <c r="AA26" s="528"/>
      <c r="AB26" s="528"/>
      <c r="AC26" s="529"/>
      <c r="AD26" s="527"/>
      <c r="AE26" s="528"/>
      <c r="AF26" s="528"/>
      <c r="AG26" s="528"/>
      <c r="AH26" s="528"/>
      <c r="AI26" s="528"/>
      <c r="AJ26" s="528"/>
      <c r="AK26" s="528"/>
      <c r="AL26" s="529"/>
      <c r="AM26" s="527"/>
      <c r="AN26" s="528"/>
      <c r="AO26" s="528"/>
      <c r="AP26" s="528"/>
      <c r="AQ26" s="528"/>
      <c r="AR26" s="528"/>
      <c r="AS26" s="528"/>
      <c r="AT26" s="528"/>
      <c r="AU26" s="529"/>
    </row>
    <row r="27" spans="1:55" ht="9.75" customHeight="1" x14ac:dyDescent="0.2">
      <c r="A27" s="128" t="s">
        <v>537</v>
      </c>
      <c r="B27" s="129"/>
      <c r="C27" s="129"/>
      <c r="D27" s="129"/>
      <c r="E27" s="129"/>
      <c r="F27" s="129"/>
      <c r="G27" s="129"/>
      <c r="H27" s="129"/>
      <c r="I27" s="129"/>
      <c r="J27" s="129"/>
      <c r="K27" s="130"/>
      <c r="L27" s="579" t="str">
        <f>IF(Инфо!F24="","",Инфо!F24)</f>
        <v/>
      </c>
      <c r="M27" s="580"/>
      <c r="N27" s="580"/>
      <c r="O27" s="580"/>
      <c r="P27" s="580"/>
      <c r="Q27" s="580"/>
      <c r="R27" s="580"/>
      <c r="S27" s="580"/>
      <c r="T27" s="581"/>
      <c r="U27" s="579" t="str">
        <f>IF(Инфо!H24="","",Инфо!H24)</f>
        <v/>
      </c>
      <c r="V27" s="580"/>
      <c r="W27" s="580"/>
      <c r="X27" s="580"/>
      <c r="Y27" s="580"/>
      <c r="Z27" s="580"/>
      <c r="AA27" s="580"/>
      <c r="AB27" s="580"/>
      <c r="AC27" s="581"/>
      <c r="AD27" s="579" t="str">
        <f>IF(Инфо!J24="","",Инфо!J24)</f>
        <v/>
      </c>
      <c r="AE27" s="580"/>
      <c r="AF27" s="580"/>
      <c r="AG27" s="580"/>
      <c r="AH27" s="580"/>
      <c r="AI27" s="580"/>
      <c r="AJ27" s="580"/>
      <c r="AK27" s="580"/>
      <c r="AL27" s="581"/>
      <c r="AM27" s="579" t="str">
        <f>IF(Инфо!L24="","",Инфо!L24)</f>
        <v/>
      </c>
      <c r="AN27" s="580"/>
      <c r="AO27" s="580"/>
      <c r="AP27" s="580"/>
      <c r="AQ27" s="580"/>
      <c r="AR27" s="580"/>
      <c r="AS27" s="580"/>
      <c r="AT27" s="580"/>
      <c r="AU27" s="581"/>
    </row>
    <row r="28" spans="1:55" ht="9.75" customHeight="1" x14ac:dyDescent="0.2">
      <c r="A28" s="114" t="s">
        <v>536</v>
      </c>
      <c r="B28" s="115"/>
      <c r="C28" s="115"/>
      <c r="D28" s="115"/>
      <c r="E28" s="115"/>
      <c r="F28" s="115"/>
      <c r="G28" s="115"/>
      <c r="H28" s="115"/>
      <c r="I28" s="115"/>
      <c r="J28" s="115"/>
      <c r="K28" s="127"/>
      <c r="L28" s="527"/>
      <c r="M28" s="528"/>
      <c r="N28" s="528"/>
      <c r="O28" s="528"/>
      <c r="P28" s="528"/>
      <c r="Q28" s="528"/>
      <c r="R28" s="528"/>
      <c r="S28" s="528"/>
      <c r="T28" s="529"/>
      <c r="U28" s="527"/>
      <c r="V28" s="528"/>
      <c r="W28" s="528"/>
      <c r="X28" s="528"/>
      <c r="Y28" s="528"/>
      <c r="Z28" s="528"/>
      <c r="AA28" s="528"/>
      <c r="AB28" s="528"/>
      <c r="AC28" s="529"/>
      <c r="AD28" s="527"/>
      <c r="AE28" s="528"/>
      <c r="AF28" s="528"/>
      <c r="AG28" s="528"/>
      <c r="AH28" s="528"/>
      <c r="AI28" s="528"/>
      <c r="AJ28" s="528"/>
      <c r="AK28" s="528"/>
      <c r="AL28" s="529"/>
      <c r="AM28" s="527"/>
      <c r="AN28" s="528"/>
      <c r="AO28" s="528"/>
      <c r="AP28" s="528"/>
      <c r="AQ28" s="528"/>
      <c r="AR28" s="528"/>
      <c r="AS28" s="528"/>
      <c r="AT28" s="528"/>
      <c r="AU28" s="529"/>
    </row>
    <row r="29" spans="1:55" ht="9.75" customHeight="1" x14ac:dyDescent="0.2">
      <c r="A29" s="132" t="s">
        <v>210</v>
      </c>
      <c r="B29" s="133"/>
      <c r="C29" s="133"/>
      <c r="D29" s="133"/>
      <c r="E29" s="133"/>
      <c r="F29" s="133"/>
      <c r="G29" s="133"/>
      <c r="H29" s="133"/>
      <c r="I29" s="133"/>
      <c r="J29" s="133"/>
      <c r="K29" s="134"/>
      <c r="L29" s="579" t="str">
        <f>IF(Инфо!F25="","",Инфо!F25)</f>
        <v/>
      </c>
      <c r="M29" s="580"/>
      <c r="N29" s="580"/>
      <c r="O29" s="580"/>
      <c r="P29" s="580"/>
      <c r="Q29" s="580"/>
      <c r="R29" s="580"/>
      <c r="S29" s="580"/>
      <c r="T29" s="581"/>
      <c r="U29" s="579" t="str">
        <f>IF(Инфо!H25="","",Инфо!H25)</f>
        <v/>
      </c>
      <c r="V29" s="580"/>
      <c r="W29" s="580"/>
      <c r="X29" s="580"/>
      <c r="Y29" s="580"/>
      <c r="Z29" s="580"/>
      <c r="AA29" s="580"/>
      <c r="AB29" s="580"/>
      <c r="AC29" s="581"/>
      <c r="AD29" s="579" t="str">
        <f>IF(Инфо!J25="","",Инфо!J25)</f>
        <v/>
      </c>
      <c r="AE29" s="580"/>
      <c r="AF29" s="580"/>
      <c r="AG29" s="580"/>
      <c r="AH29" s="580"/>
      <c r="AI29" s="580"/>
      <c r="AJ29" s="580"/>
      <c r="AK29" s="580"/>
      <c r="AL29" s="581"/>
      <c r="AM29" s="579" t="str">
        <f>IF(Инфо!L25="","",Инфо!L25)</f>
        <v/>
      </c>
      <c r="AN29" s="580"/>
      <c r="AO29" s="580"/>
      <c r="AP29" s="580"/>
      <c r="AQ29" s="580"/>
      <c r="AR29" s="580"/>
      <c r="AS29" s="580"/>
      <c r="AT29" s="580"/>
      <c r="AU29" s="581"/>
    </row>
    <row r="30" spans="1:55" ht="9.75" customHeight="1" thickBot="1" x14ac:dyDescent="0.25">
      <c r="A30" s="135" t="s">
        <v>535</v>
      </c>
      <c r="B30" s="111"/>
      <c r="C30" s="111"/>
      <c r="D30" s="111"/>
      <c r="E30" s="111"/>
      <c r="F30" s="111"/>
      <c r="G30" s="111"/>
      <c r="H30" s="111"/>
      <c r="I30" s="111"/>
      <c r="J30" s="111"/>
      <c r="K30" s="134"/>
      <c r="L30" s="582"/>
      <c r="M30" s="583"/>
      <c r="N30" s="583"/>
      <c r="O30" s="583"/>
      <c r="P30" s="583"/>
      <c r="Q30" s="583"/>
      <c r="R30" s="583"/>
      <c r="S30" s="583"/>
      <c r="T30" s="584"/>
      <c r="U30" s="582"/>
      <c r="V30" s="583"/>
      <c r="W30" s="583"/>
      <c r="X30" s="583"/>
      <c r="Y30" s="583"/>
      <c r="Z30" s="583"/>
      <c r="AA30" s="583"/>
      <c r="AB30" s="583"/>
      <c r="AC30" s="584"/>
      <c r="AD30" s="582"/>
      <c r="AE30" s="583"/>
      <c r="AF30" s="583"/>
      <c r="AG30" s="583"/>
      <c r="AH30" s="583"/>
      <c r="AI30" s="583"/>
      <c r="AJ30" s="583"/>
      <c r="AK30" s="583"/>
      <c r="AL30" s="584"/>
      <c r="AM30" s="582"/>
      <c r="AN30" s="583"/>
      <c r="AO30" s="583"/>
      <c r="AP30" s="583"/>
      <c r="AQ30" s="583"/>
      <c r="AR30" s="583"/>
      <c r="AS30" s="583"/>
      <c r="AT30" s="583"/>
      <c r="AU30" s="584"/>
    </row>
    <row r="31" spans="1:55" ht="9.75" customHeight="1" thickTop="1" x14ac:dyDescent="0.2">
      <c r="A31" s="136" t="s">
        <v>211</v>
      </c>
      <c r="B31" s="137"/>
      <c r="C31" s="137"/>
      <c r="D31" s="137"/>
      <c r="E31" s="137"/>
      <c r="F31" s="137"/>
      <c r="G31" s="137"/>
      <c r="H31" s="137"/>
      <c r="I31" s="137"/>
      <c r="J31" s="137"/>
      <c r="K31" s="138"/>
      <c r="L31" s="353"/>
      <c r="M31" s="353"/>
      <c r="N31" s="354"/>
      <c r="O31" s="353"/>
      <c r="P31" s="354"/>
      <c r="Q31" s="353"/>
      <c r="R31" s="353"/>
      <c r="S31" s="353"/>
      <c r="T31" s="522" t="s">
        <v>199</v>
      </c>
      <c r="U31" s="353"/>
      <c r="V31" s="353"/>
      <c r="W31" s="354"/>
      <c r="X31" s="353"/>
      <c r="Y31" s="354"/>
      <c r="Z31" s="353"/>
      <c r="AA31" s="353"/>
      <c r="AB31" s="353"/>
      <c r="AC31" s="522" t="s">
        <v>199</v>
      </c>
      <c r="AD31" s="353"/>
      <c r="AE31" s="353"/>
      <c r="AF31" s="354"/>
      <c r="AG31" s="353"/>
      <c r="AH31" s="354"/>
      <c r="AI31" s="353"/>
      <c r="AJ31" s="353"/>
      <c r="AK31" s="353"/>
      <c r="AL31" s="522" t="s">
        <v>199</v>
      </c>
      <c r="AM31" s="355"/>
      <c r="AN31" s="355"/>
      <c r="AO31" s="356"/>
      <c r="AP31" s="355"/>
      <c r="AQ31" s="356"/>
      <c r="AR31" s="355"/>
      <c r="AS31" s="355"/>
      <c r="AT31" s="355"/>
      <c r="AU31" s="522" t="s">
        <v>199</v>
      </c>
    </row>
    <row r="32" spans="1:55" ht="9.75" customHeight="1" thickBot="1" x14ac:dyDescent="0.25">
      <c r="A32" s="139" t="s">
        <v>212</v>
      </c>
      <c r="B32" s="140"/>
      <c r="C32" s="140"/>
      <c r="D32" s="140"/>
      <c r="E32" s="140"/>
      <c r="F32" s="140"/>
      <c r="G32" s="140"/>
      <c r="H32" s="140"/>
      <c r="I32" s="140"/>
      <c r="J32" s="140"/>
      <c r="K32" s="141"/>
      <c r="L32" s="357" t="str">
        <f>IF(Инфо!F26="","",IF(DAY(Инфо!F26)&lt;10,0,MID(DAY(Инфо!F26),1,1)))</f>
        <v/>
      </c>
      <c r="M32" s="358" t="str">
        <f>IF(Инфо!F26="","",IF(DAY(Инфо!F26)&lt;10,DAY(Инфо!F26),MID(DAY(Инфо!F26),2,1)))</f>
        <v/>
      </c>
      <c r="N32" s="358" t="str">
        <f>IF(Инфо!F26="","",IF(MONTH(Инфо!F26)&lt;10,0,MID(MONTH(Инфо!F26),1,1)))</f>
        <v/>
      </c>
      <c r="O32" s="358" t="str">
        <f>IF(Инфо!F26="","",IF(MONTH(Инфо!F26)&lt;10,MONTH(Инфо!F26),MID(MONTH(Инфо!F26),2,1)))</f>
        <v/>
      </c>
      <c r="P32" s="358" t="str">
        <f>IF(Инфо!F26="","",MID(YEAR(Инфо!F26),1,1))</f>
        <v/>
      </c>
      <c r="Q32" s="358" t="str">
        <f>IF(Инфо!F26="","",MID(YEAR(Инфо!F26),2,1))</f>
        <v/>
      </c>
      <c r="R32" s="358" t="str">
        <f>IF(Инфо!F26="","",MID(YEAR(Инфо!F26),3,1))</f>
        <v/>
      </c>
      <c r="S32" s="358" t="str">
        <f>IF(Инфо!F26="","",MID(YEAR(Инфо!F26),4,1))</f>
        <v/>
      </c>
      <c r="T32" s="523"/>
      <c r="U32" s="357" t="str">
        <f>IF(Инфо!H26="","",IF(DAY(Инфо!H26)&lt;10,0,MID(DAY(Инфо!H26),1,1)))</f>
        <v/>
      </c>
      <c r="V32" s="358" t="str">
        <f>IF(Инфо!H26="","",IF(DAY(Инфо!H26)&lt;10,DAY(Инфо!H26),MID(DAY(Инфо!H26),2,1)))</f>
        <v/>
      </c>
      <c r="W32" s="358" t="str">
        <f>IF(Инфо!H26="","",IF(MONTH(Инфо!H26)&lt;10,0,MID(MONTH(Инфо!H26),1,1)))</f>
        <v/>
      </c>
      <c r="X32" s="358" t="str">
        <f>IF(Инфо!H26="","",IF(MONTH(Инфо!H26)&lt;10,MONTH(Инфо!H26),MID(MONTH(Инфо!H26),2,1)))</f>
        <v/>
      </c>
      <c r="Y32" s="358" t="str">
        <f>IF(Инфо!H26="","",MID(YEAR(Инфо!H26),1,1))</f>
        <v/>
      </c>
      <c r="Z32" s="358" t="str">
        <f>IF(Инфо!H26="","",MID(YEAR(Инфо!H26),2,1))</f>
        <v/>
      </c>
      <c r="AA32" s="358" t="str">
        <f>IF(Инфо!H26="","",MID(YEAR(Инфо!H26),3,1))</f>
        <v/>
      </c>
      <c r="AB32" s="358" t="str">
        <f>IF(Инфо!H26="","",MID(YEAR(Инфо!H26),4,1))</f>
        <v/>
      </c>
      <c r="AC32" s="523"/>
      <c r="AD32" s="357" t="str">
        <f>IF(Инфо!J26="","",IF(DAY(Инфо!J26)&lt;10,0,MID(DAY(Инфо!J26),1,1)))</f>
        <v/>
      </c>
      <c r="AE32" s="358" t="str">
        <f>IF(Инфо!J26="","",IF(DAY(Инфо!J26)&lt;10,DAY(Инфо!J26),MID(DAY(Инфо!J26),2,1)))</f>
        <v/>
      </c>
      <c r="AF32" s="358" t="str">
        <f>IF(Инфо!J26="","",IF(MONTH(Инфо!J26)&lt;10,0,MID(MONTH(Инфо!J26),1,1)))</f>
        <v/>
      </c>
      <c r="AG32" s="358" t="str">
        <f>IF(Инфо!J26="","",IF(MONTH(Инфо!J26)&lt;10,MONTH(Инфо!J26),MID(MONTH(Инфо!J26),2,1)))</f>
        <v/>
      </c>
      <c r="AH32" s="358" t="str">
        <f>IF(Инфо!J26="","",MID(YEAR(Инфо!J26),1,1))</f>
        <v/>
      </c>
      <c r="AI32" s="358" t="str">
        <f>IF(Инфо!J26="","",MID(YEAR(Инфо!J26),2,1))</f>
        <v/>
      </c>
      <c r="AJ32" s="358" t="str">
        <f>IF(Инфо!J26="","",MID(YEAR(Инфо!J26),3,1))</f>
        <v/>
      </c>
      <c r="AK32" s="358" t="str">
        <f>IF(Инфо!J26="","",MID(YEAR(Инфо!J26),4,1))</f>
        <v/>
      </c>
      <c r="AL32" s="523"/>
      <c r="AM32" s="357" t="str">
        <f>IF(Инфо!L26="","",IF(DAY(Инфо!L26)&lt;10,0,MID(DAY(Инфо!L26),1,1)))</f>
        <v/>
      </c>
      <c r="AN32" s="358" t="str">
        <f>IF(Инфо!L26="","",IF(DAY(Инфо!L26)&lt;10,DAY(Инфо!L26),MID(DAY(Инфо!L26),2,1)))</f>
        <v/>
      </c>
      <c r="AO32" s="358" t="str">
        <f>IF(Инфо!L26="","",IF(MONTH(Инфо!L26)&lt;10,0,MID(MONTH(Инфо!L26),1,1)))</f>
        <v/>
      </c>
      <c r="AP32" s="358" t="str">
        <f>IF(Инфо!L26="","",IF(MONTH(Инфо!L26)&lt;10,MONTH(Инфо!L26),MID(MONTH(Инфо!L26),2,1)))</f>
        <v/>
      </c>
      <c r="AQ32" s="358" t="str">
        <f>IF(Инфо!L26="","",MID(YEAR(Инфо!L26),1,1))</f>
        <v/>
      </c>
      <c r="AR32" s="358" t="str">
        <f>IF(Инфо!L26="","",MID(YEAR(Инфо!L26),2,1))</f>
        <v/>
      </c>
      <c r="AS32" s="358" t="str">
        <f>IF(Инфо!L26="","",MID(YEAR(Инфо!L26),3,1))</f>
        <v/>
      </c>
      <c r="AT32" s="358" t="str">
        <f>IF(Инфо!L26="","",MID(YEAR(Инфо!L26),4,1))</f>
        <v/>
      </c>
      <c r="AU32" s="523"/>
      <c r="AV32" s="102"/>
    </row>
    <row r="33" spans="1:48" ht="9.75" customHeight="1" thickTop="1" x14ac:dyDescent="0.2">
      <c r="A33" s="316"/>
      <c r="B33" s="317"/>
      <c r="C33" s="317"/>
      <c r="D33" s="317"/>
      <c r="E33" s="317"/>
      <c r="F33" s="317"/>
      <c r="G33" s="317"/>
      <c r="H33" s="317"/>
      <c r="I33" s="317"/>
      <c r="J33" s="317"/>
      <c r="K33" s="317"/>
      <c r="L33" s="317"/>
      <c r="M33" s="317"/>
      <c r="N33" s="317"/>
      <c r="O33" s="317"/>
      <c r="P33" s="317"/>
      <c r="Q33" s="317"/>
      <c r="R33" s="317"/>
      <c r="S33" s="317"/>
      <c r="T33" s="317"/>
      <c r="U33" s="317"/>
      <c r="V33" s="317"/>
      <c r="W33" s="317"/>
      <c r="X33" s="317"/>
      <c r="Y33" s="317"/>
      <c r="Z33" s="317"/>
      <c r="AA33" s="317"/>
      <c r="AB33" s="317"/>
      <c r="AC33" s="317"/>
      <c r="AD33" s="317"/>
      <c r="AE33" s="317"/>
      <c r="AF33" s="317"/>
      <c r="AG33" s="317"/>
      <c r="AH33" s="317"/>
      <c r="AI33" s="317"/>
      <c r="AJ33" s="317"/>
      <c r="AK33" s="317"/>
      <c r="AL33" s="317"/>
      <c r="AM33" s="317"/>
      <c r="AN33" s="317"/>
      <c r="AO33" s="317"/>
      <c r="AP33" s="317"/>
      <c r="AQ33" s="317"/>
      <c r="AR33" s="317"/>
      <c r="AS33" s="317"/>
      <c r="AT33" s="317"/>
      <c r="AU33" s="318"/>
      <c r="AV33" s="102"/>
    </row>
    <row r="34" spans="1:48" ht="15" customHeight="1" x14ac:dyDescent="0.35">
      <c r="A34" s="319" t="s">
        <v>213</v>
      </c>
      <c r="B34" s="320"/>
      <c r="C34" s="320"/>
      <c r="D34" s="320"/>
      <c r="E34" s="321"/>
      <c r="F34" s="317"/>
      <c r="G34" s="317"/>
      <c r="H34" s="317"/>
      <c r="I34" s="317"/>
      <c r="J34" s="317"/>
      <c r="K34" s="317"/>
      <c r="L34" s="320" t="s">
        <v>221</v>
      </c>
      <c r="M34" s="317"/>
      <c r="N34" s="321"/>
      <c r="O34" s="521" t="str">
        <f>IF(Инфо!C8="","",Инфо!C8)</f>
        <v/>
      </c>
      <c r="P34" s="521"/>
      <c r="Q34" s="521"/>
      <c r="R34" s="521"/>
      <c r="S34" s="521"/>
      <c r="T34" s="521"/>
      <c r="U34" s="317"/>
      <c r="V34" s="317"/>
      <c r="W34" s="317"/>
      <c r="X34" s="317"/>
      <c r="Y34" s="317"/>
      <c r="Z34" s="322"/>
      <c r="AA34" s="317"/>
      <c r="AB34" s="317"/>
      <c r="AC34" s="317"/>
      <c r="AD34" s="317"/>
      <c r="AE34" s="317"/>
      <c r="AF34" s="317"/>
      <c r="AG34" s="317"/>
      <c r="AH34" s="317"/>
      <c r="AI34" s="317"/>
      <c r="AJ34" s="317"/>
      <c r="AK34" s="317"/>
      <c r="AL34" s="317"/>
      <c r="AM34" s="317"/>
      <c r="AN34" s="317"/>
      <c r="AO34" s="317"/>
      <c r="AP34" s="317"/>
      <c r="AQ34" s="317"/>
      <c r="AR34" s="317"/>
      <c r="AS34" s="317"/>
      <c r="AT34" s="317"/>
      <c r="AU34" s="318"/>
      <c r="AV34" s="102"/>
    </row>
    <row r="35" spans="1:48" ht="15" customHeight="1" thickBot="1" x14ac:dyDescent="0.4">
      <c r="A35" s="323" t="s">
        <v>214</v>
      </c>
      <c r="B35" s="324"/>
      <c r="C35" s="324"/>
      <c r="D35" s="324"/>
      <c r="E35" s="325"/>
      <c r="F35" s="326"/>
      <c r="G35" s="326"/>
      <c r="H35" s="326"/>
      <c r="I35" s="326"/>
      <c r="J35" s="326"/>
      <c r="K35" s="326"/>
      <c r="L35" s="326"/>
      <c r="M35" s="326"/>
      <c r="N35" s="325"/>
      <c r="O35" s="326"/>
      <c r="P35" s="326"/>
      <c r="Q35" s="326"/>
      <c r="R35" s="326"/>
      <c r="S35" s="326"/>
      <c r="T35" s="326"/>
      <c r="U35" s="326"/>
      <c r="V35" s="326"/>
      <c r="W35" s="326"/>
      <c r="X35" s="326"/>
      <c r="Y35" s="326"/>
      <c r="Z35" s="327"/>
      <c r="AA35" s="326"/>
      <c r="AB35" s="326"/>
      <c r="AC35" s="326"/>
      <c r="AD35" s="326"/>
      <c r="AE35" s="326"/>
      <c r="AF35" s="326"/>
      <c r="AG35" s="326"/>
      <c r="AH35" s="326"/>
      <c r="AI35" s="326"/>
      <c r="AJ35" s="326"/>
      <c r="AK35" s="326"/>
      <c r="AL35" s="326"/>
      <c r="AM35" s="326"/>
      <c r="AN35" s="326"/>
      <c r="AO35" s="326"/>
      <c r="AP35" s="326"/>
      <c r="AQ35" s="326"/>
      <c r="AR35" s="326"/>
      <c r="AS35" s="326"/>
      <c r="AT35" s="326"/>
      <c r="AU35" s="328"/>
      <c r="AV35" s="102"/>
    </row>
    <row r="36" spans="1:48" ht="67.5" customHeight="1" thickTop="1" x14ac:dyDescent="0.2"/>
    <row r="37" spans="1:48" ht="12.75" x14ac:dyDescent="0.2">
      <c r="W37" s="536" t="s">
        <v>180</v>
      </c>
      <c r="X37" s="536"/>
      <c r="Y37" s="536"/>
      <c r="Z37" s="536"/>
      <c r="AA37" s="536"/>
      <c r="AB37" s="536"/>
      <c r="AC37" s="536"/>
      <c r="AD37" s="536"/>
      <c r="AE37" s="536"/>
      <c r="AF37" s="536"/>
      <c r="AG37" s="536"/>
      <c r="AH37" s="536"/>
      <c r="AI37" s="536"/>
      <c r="AJ37" s="536"/>
      <c r="AK37" s="536"/>
      <c r="AL37" s="536"/>
      <c r="AM37" s="536"/>
      <c r="AN37" s="536"/>
      <c r="AO37" s="536"/>
      <c r="AP37" s="536"/>
      <c r="AQ37" s="536"/>
      <c r="AR37" s="536"/>
      <c r="AS37" s="536"/>
      <c r="AT37" s="536"/>
      <c r="AU37" s="536"/>
      <c r="AV37" s="536"/>
    </row>
    <row r="38" spans="1:48" ht="3.75" customHeight="1" thickBot="1" x14ac:dyDescent="0.25">
      <c r="A38" s="233"/>
      <c r="B38" s="233"/>
      <c r="C38" s="233"/>
      <c r="D38" s="233"/>
      <c r="E38" s="233"/>
      <c r="F38" s="233"/>
      <c r="G38" s="233"/>
      <c r="H38" s="233"/>
      <c r="I38" s="233"/>
      <c r="J38" s="233"/>
      <c r="K38" s="233"/>
      <c r="L38" s="233"/>
      <c r="M38" s="233"/>
      <c r="N38" s="233"/>
      <c r="O38" s="233"/>
      <c r="P38" s="233"/>
      <c r="Q38" s="233"/>
      <c r="R38" s="233"/>
      <c r="S38" s="233"/>
      <c r="T38" s="233"/>
      <c r="U38" s="233"/>
      <c r="V38" s="233"/>
      <c r="W38" s="233"/>
      <c r="X38" s="233"/>
      <c r="Y38" s="233"/>
      <c r="Z38" s="233"/>
      <c r="AA38" s="233"/>
      <c r="AB38" s="233"/>
      <c r="AC38" s="233"/>
      <c r="AD38" s="233"/>
      <c r="AE38" s="233"/>
      <c r="AF38" s="233"/>
      <c r="AG38" s="233"/>
    </row>
    <row r="39" spans="1:48" ht="11.25" customHeight="1" thickTop="1" x14ac:dyDescent="0.2">
      <c r="A39" s="234"/>
      <c r="B39" s="235"/>
      <c r="C39" s="235"/>
      <c r="D39" s="235"/>
      <c r="E39" s="235"/>
      <c r="F39" s="99" t="s">
        <v>181</v>
      </c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100"/>
      <c r="AD39" s="537" t="s">
        <v>539</v>
      </c>
      <c r="AE39" s="537"/>
      <c r="AF39" s="537"/>
      <c r="AG39" s="537"/>
      <c r="AH39" s="538"/>
      <c r="AI39" s="236"/>
      <c r="AJ39" s="236"/>
      <c r="AK39" s="236"/>
      <c r="AL39" s="236"/>
      <c r="AM39" s="236"/>
      <c r="AN39" s="236"/>
      <c r="AO39" s="236"/>
      <c r="AP39" s="236"/>
      <c r="AQ39" s="236"/>
      <c r="AR39" s="236"/>
      <c r="AS39" s="236"/>
      <c r="AT39" s="236"/>
      <c r="AU39" s="237"/>
    </row>
    <row r="40" spans="1:48" ht="11.25" customHeight="1" x14ac:dyDescent="0.2">
      <c r="A40" s="238"/>
      <c r="B40" s="235"/>
      <c r="C40" s="235"/>
      <c r="D40" s="235"/>
      <c r="E40" s="235"/>
      <c r="F40" s="539" t="s">
        <v>182</v>
      </c>
      <c r="G40" s="539"/>
      <c r="H40" s="539"/>
      <c r="I40" s="539"/>
      <c r="J40" s="539"/>
      <c r="K40" s="539"/>
      <c r="L40" s="539"/>
      <c r="M40" s="539"/>
      <c r="N40" s="539"/>
      <c r="O40" s="539"/>
      <c r="P40" s="539"/>
      <c r="Q40" s="539"/>
      <c r="R40" s="539"/>
      <c r="S40" s="539"/>
      <c r="T40" s="539"/>
      <c r="U40" s="539"/>
      <c r="V40" s="539"/>
      <c r="W40" s="539"/>
      <c r="X40" s="539"/>
      <c r="Y40" s="539"/>
      <c r="Z40" s="539"/>
      <c r="AA40" s="539"/>
      <c r="AB40" s="101"/>
      <c r="AC40" s="100"/>
      <c r="AD40" s="540" t="s">
        <v>538</v>
      </c>
      <c r="AE40" s="540"/>
      <c r="AF40" s="540"/>
      <c r="AG40" s="540"/>
      <c r="AH40" s="541"/>
      <c r="AI40" s="221" t="str">
        <f>AI4</f>
        <v>9</v>
      </c>
      <c r="AJ40" s="221" t="str">
        <f t="shared" ref="AJ40:AU40" si="0">AJ4</f>
        <v>8</v>
      </c>
      <c r="AK40" s="222" t="str">
        <f t="shared" si="0"/>
        <v>7</v>
      </c>
      <c r="AL40" s="223" t="str">
        <f t="shared" si="0"/>
        <v>6</v>
      </c>
      <c r="AM40" s="222" t="str">
        <f t="shared" si="0"/>
        <v>5</v>
      </c>
      <c r="AN40" s="221" t="str">
        <f t="shared" si="0"/>
        <v>4</v>
      </c>
      <c r="AO40" s="221" t="str">
        <f t="shared" si="0"/>
        <v>3</v>
      </c>
      <c r="AP40" s="221" t="str">
        <f t="shared" si="0"/>
        <v>2</v>
      </c>
      <c r="AQ40" s="221" t="str">
        <f t="shared" si="0"/>
        <v>2</v>
      </c>
      <c r="AR40" s="221" t="str">
        <f t="shared" si="0"/>
        <v/>
      </c>
      <c r="AS40" s="221" t="str">
        <f t="shared" si="0"/>
        <v/>
      </c>
      <c r="AT40" s="221" t="str">
        <f t="shared" si="0"/>
        <v/>
      </c>
      <c r="AU40" s="224" t="str">
        <f t="shared" si="0"/>
        <v/>
      </c>
    </row>
    <row r="41" spans="1:48" ht="11.25" customHeight="1" x14ac:dyDescent="0.2">
      <c r="A41" s="238"/>
      <c r="B41" s="235"/>
      <c r="C41" s="235"/>
      <c r="D41" s="235"/>
      <c r="E41" s="235"/>
      <c r="F41" s="542" t="s">
        <v>554</v>
      </c>
      <c r="G41" s="542"/>
      <c r="H41" s="542"/>
      <c r="I41" s="542"/>
      <c r="J41" s="542"/>
      <c r="K41" s="542"/>
      <c r="L41" s="542"/>
      <c r="M41" s="542"/>
      <c r="N41" s="542"/>
      <c r="O41" s="542"/>
      <c r="P41" s="542"/>
      <c r="Q41" s="542"/>
      <c r="R41" s="542"/>
      <c r="S41" s="542"/>
      <c r="T41" s="542"/>
      <c r="U41" s="542"/>
      <c r="V41" s="542"/>
      <c r="W41" s="542"/>
      <c r="X41" s="542"/>
      <c r="Y41" s="542"/>
      <c r="Z41" s="542"/>
      <c r="AA41" s="542"/>
      <c r="AB41" s="103"/>
      <c r="AC41" s="104"/>
      <c r="AD41" s="103"/>
      <c r="AE41" s="235"/>
      <c r="AF41" s="235"/>
      <c r="AG41" s="235"/>
      <c r="AH41" s="235"/>
      <c r="AI41" s="239"/>
      <c r="AJ41" s="239"/>
      <c r="AK41" s="239"/>
      <c r="AL41" s="235"/>
      <c r="AM41" s="239"/>
      <c r="AN41" s="239"/>
      <c r="AO41" s="239"/>
      <c r="AP41" s="239"/>
      <c r="AQ41" s="239"/>
      <c r="AR41" s="239"/>
      <c r="AS41" s="239"/>
      <c r="AT41" s="239"/>
      <c r="AU41" s="240"/>
    </row>
    <row r="42" spans="1:48" ht="11.25" customHeight="1" thickBot="1" x14ac:dyDescent="0.25">
      <c r="A42" s="241"/>
      <c r="B42" s="242"/>
      <c r="C42" s="105"/>
      <c r="D42" s="105"/>
      <c r="E42" s="543" t="s">
        <v>183</v>
      </c>
      <c r="F42" s="543"/>
      <c r="G42" s="543"/>
      <c r="H42" s="543"/>
      <c r="I42" s="543"/>
      <c r="J42" s="543"/>
      <c r="K42" s="543"/>
      <c r="L42" s="543"/>
      <c r="M42" s="543"/>
      <c r="N42" s="543"/>
      <c r="O42" s="543"/>
      <c r="P42" s="543"/>
      <c r="Q42" s="543"/>
      <c r="R42" s="543"/>
      <c r="S42" s="543"/>
      <c r="T42" s="543"/>
      <c r="U42" s="543"/>
      <c r="V42" s="543"/>
      <c r="W42" s="543"/>
      <c r="X42" s="543"/>
      <c r="Y42" s="543"/>
      <c r="Z42" s="543"/>
      <c r="AA42" s="543"/>
      <c r="AB42" s="543"/>
      <c r="AC42" s="106"/>
      <c r="AD42" s="107"/>
      <c r="AE42" s="107"/>
      <c r="AF42" s="107"/>
      <c r="AG42" s="107"/>
      <c r="AH42" s="107"/>
      <c r="AI42" s="243"/>
      <c r="AJ42" s="243"/>
      <c r="AK42" s="243"/>
      <c r="AL42" s="243"/>
      <c r="AM42" s="243"/>
      <c r="AN42" s="243"/>
      <c r="AO42" s="243"/>
      <c r="AP42" s="243"/>
      <c r="AQ42" s="243"/>
      <c r="AR42" s="243"/>
      <c r="AS42" s="243"/>
      <c r="AT42" s="243"/>
      <c r="AU42" s="244"/>
    </row>
    <row r="43" spans="1:48" ht="9.75" customHeight="1" x14ac:dyDescent="0.2">
      <c r="A43" s="108" t="s">
        <v>184</v>
      </c>
      <c r="B43" s="109"/>
      <c r="C43" s="109"/>
      <c r="D43" s="109"/>
      <c r="E43" s="109"/>
      <c r="F43" s="109"/>
      <c r="G43" s="109"/>
      <c r="H43" s="110"/>
      <c r="I43" s="566" t="str">
        <f>I7</f>
        <v>Проба ЕООД</v>
      </c>
      <c r="J43" s="507"/>
      <c r="K43" s="507"/>
      <c r="L43" s="507"/>
      <c r="M43" s="507"/>
      <c r="N43" s="507"/>
      <c r="O43" s="507"/>
      <c r="P43" s="507"/>
      <c r="Q43" s="507"/>
      <c r="R43" s="507"/>
      <c r="S43" s="507"/>
      <c r="T43" s="507"/>
      <c r="U43" s="507"/>
      <c r="V43" s="507"/>
      <c r="W43" s="507"/>
      <c r="X43" s="507"/>
      <c r="Y43" s="507"/>
      <c r="Z43" s="507"/>
      <c r="AA43" s="507"/>
      <c r="AB43" s="507"/>
      <c r="AC43" s="507"/>
      <c r="AD43" s="507"/>
      <c r="AE43" s="507"/>
      <c r="AF43" s="507"/>
      <c r="AG43" s="507"/>
      <c r="AH43" s="507"/>
      <c r="AI43" s="507"/>
      <c r="AJ43" s="507"/>
      <c r="AK43" s="507"/>
      <c r="AL43" s="507"/>
      <c r="AM43" s="507"/>
      <c r="AN43" s="507"/>
      <c r="AO43" s="507"/>
      <c r="AP43" s="567"/>
      <c r="AQ43" s="113" t="s">
        <v>185</v>
      </c>
      <c r="AR43" s="111"/>
      <c r="AS43" s="111"/>
      <c r="AT43" s="112"/>
      <c r="AU43" s="564">
        <f>AU7</f>
        <v>0</v>
      </c>
    </row>
    <row r="44" spans="1:48" ht="9.75" customHeight="1" x14ac:dyDescent="0.2">
      <c r="A44" s="114" t="s">
        <v>540</v>
      </c>
      <c r="B44" s="115"/>
      <c r="C44" s="115"/>
      <c r="D44" s="115"/>
      <c r="E44" s="115"/>
      <c r="F44" s="115"/>
      <c r="G44" s="115"/>
      <c r="H44" s="116"/>
      <c r="I44" s="568"/>
      <c r="J44" s="569"/>
      <c r="K44" s="569"/>
      <c r="L44" s="569"/>
      <c r="M44" s="569"/>
      <c r="N44" s="569"/>
      <c r="O44" s="569"/>
      <c r="P44" s="569"/>
      <c r="Q44" s="569"/>
      <c r="R44" s="569"/>
      <c r="S44" s="569"/>
      <c r="T44" s="569"/>
      <c r="U44" s="569"/>
      <c r="V44" s="569"/>
      <c r="W44" s="569"/>
      <c r="X44" s="569"/>
      <c r="Y44" s="569"/>
      <c r="Z44" s="569"/>
      <c r="AA44" s="569"/>
      <c r="AB44" s="569"/>
      <c r="AC44" s="569"/>
      <c r="AD44" s="569"/>
      <c r="AE44" s="569"/>
      <c r="AF44" s="569"/>
      <c r="AG44" s="569"/>
      <c r="AH44" s="569"/>
      <c r="AI44" s="569"/>
      <c r="AJ44" s="569"/>
      <c r="AK44" s="569"/>
      <c r="AL44" s="569"/>
      <c r="AM44" s="569"/>
      <c r="AN44" s="569"/>
      <c r="AO44" s="569"/>
      <c r="AP44" s="570"/>
      <c r="AQ44" s="119" t="s">
        <v>122</v>
      </c>
      <c r="AR44" s="117"/>
      <c r="AS44" s="117"/>
      <c r="AT44" s="118"/>
      <c r="AU44" s="565"/>
    </row>
    <row r="45" spans="1:48" ht="9.75" customHeight="1" x14ac:dyDescent="0.2">
      <c r="A45" s="585" t="s">
        <v>186</v>
      </c>
      <c r="B45" s="545"/>
      <c r="C45" s="545"/>
      <c r="D45" s="546"/>
      <c r="E45" s="571" t="str">
        <f>E9</f>
        <v/>
      </c>
      <c r="F45" s="572"/>
      <c r="G45" s="572"/>
      <c r="H45" s="572"/>
      <c r="I45" s="572"/>
      <c r="J45" s="572"/>
      <c r="K45" s="572"/>
      <c r="L45" s="572"/>
      <c r="M45" s="572"/>
      <c r="N45" s="572"/>
      <c r="O45" s="572"/>
      <c r="P45" s="572"/>
      <c r="Q45" s="573"/>
      <c r="R45" s="544" t="s">
        <v>187</v>
      </c>
      <c r="S45" s="545"/>
      <c r="T45" s="545"/>
      <c r="U45" s="546"/>
      <c r="V45" s="571" t="str">
        <f>V9</f>
        <v/>
      </c>
      <c r="W45" s="572"/>
      <c r="X45" s="572"/>
      <c r="Y45" s="572"/>
      <c r="Z45" s="572"/>
      <c r="AA45" s="572"/>
      <c r="AB45" s="572"/>
      <c r="AC45" s="572"/>
      <c r="AD45" s="572"/>
      <c r="AE45" s="572"/>
      <c r="AF45" s="572"/>
      <c r="AG45" s="573"/>
      <c r="AH45" s="544" t="s">
        <v>188</v>
      </c>
      <c r="AI45" s="545"/>
      <c r="AJ45" s="546"/>
      <c r="AK45" s="571" t="str">
        <f>AK9</f>
        <v/>
      </c>
      <c r="AL45" s="572"/>
      <c r="AM45" s="572"/>
      <c r="AN45" s="572"/>
      <c r="AO45" s="572"/>
      <c r="AP45" s="572"/>
      <c r="AQ45" s="572"/>
      <c r="AR45" s="572"/>
      <c r="AS45" s="572"/>
      <c r="AT45" s="572"/>
      <c r="AU45" s="577"/>
    </row>
    <row r="46" spans="1:48" ht="9.75" customHeight="1" thickBot="1" x14ac:dyDescent="0.25">
      <c r="A46" s="586"/>
      <c r="B46" s="548"/>
      <c r="C46" s="548"/>
      <c r="D46" s="549"/>
      <c r="E46" s="574"/>
      <c r="F46" s="575"/>
      <c r="G46" s="575"/>
      <c r="H46" s="575"/>
      <c r="I46" s="575"/>
      <c r="J46" s="575"/>
      <c r="K46" s="575"/>
      <c r="L46" s="575"/>
      <c r="M46" s="575"/>
      <c r="N46" s="575"/>
      <c r="O46" s="575"/>
      <c r="P46" s="575"/>
      <c r="Q46" s="576"/>
      <c r="R46" s="547"/>
      <c r="S46" s="548"/>
      <c r="T46" s="548"/>
      <c r="U46" s="549"/>
      <c r="V46" s="574"/>
      <c r="W46" s="575"/>
      <c r="X46" s="575"/>
      <c r="Y46" s="575"/>
      <c r="Z46" s="575"/>
      <c r="AA46" s="575"/>
      <c r="AB46" s="575"/>
      <c r="AC46" s="575"/>
      <c r="AD46" s="575"/>
      <c r="AE46" s="575"/>
      <c r="AF46" s="575"/>
      <c r="AG46" s="576"/>
      <c r="AH46" s="547"/>
      <c r="AI46" s="548"/>
      <c r="AJ46" s="549"/>
      <c r="AK46" s="574"/>
      <c r="AL46" s="575"/>
      <c r="AM46" s="575"/>
      <c r="AN46" s="575"/>
      <c r="AO46" s="575"/>
      <c r="AP46" s="575"/>
      <c r="AQ46" s="575"/>
      <c r="AR46" s="575"/>
      <c r="AS46" s="575"/>
      <c r="AT46" s="575"/>
      <c r="AU46" s="578"/>
    </row>
    <row r="47" spans="1:48" ht="9.75" customHeight="1" thickTop="1" x14ac:dyDescent="0.2">
      <c r="A47" s="304"/>
      <c r="B47" s="305"/>
      <c r="C47" s="305"/>
      <c r="D47" s="305"/>
      <c r="E47" s="305"/>
      <c r="F47" s="306"/>
      <c r="G47" s="306"/>
      <c r="H47" s="306"/>
      <c r="I47" s="307"/>
      <c r="J47" s="307"/>
      <c r="K47" s="308"/>
      <c r="L47" s="120" t="s">
        <v>189</v>
      </c>
      <c r="M47" s="120"/>
      <c r="N47" s="120"/>
      <c r="O47" s="120"/>
      <c r="P47" s="560" t="str">
        <f>P11</f>
        <v/>
      </c>
      <c r="Q47" s="562" t="s">
        <v>190</v>
      </c>
      <c r="R47" s="562"/>
      <c r="S47" s="562"/>
      <c r="T47" s="563"/>
      <c r="U47" s="121" t="s">
        <v>191</v>
      </c>
      <c r="V47" s="120"/>
      <c r="W47" s="120"/>
      <c r="X47" s="120"/>
      <c r="Y47" s="560" t="str">
        <f>Y11</f>
        <v/>
      </c>
      <c r="Z47" s="562" t="s">
        <v>192</v>
      </c>
      <c r="AA47" s="562"/>
      <c r="AB47" s="562"/>
      <c r="AC47" s="563"/>
      <c r="AD47" s="121" t="s">
        <v>193</v>
      </c>
      <c r="AE47" s="120"/>
      <c r="AF47" s="120"/>
      <c r="AG47" s="120"/>
      <c r="AH47" s="560" t="str">
        <f>AH11</f>
        <v/>
      </c>
      <c r="AI47" s="562" t="s">
        <v>194</v>
      </c>
      <c r="AJ47" s="562"/>
      <c r="AK47" s="562"/>
      <c r="AL47" s="563"/>
      <c r="AM47" s="121" t="s">
        <v>195</v>
      </c>
      <c r="AN47" s="120"/>
      <c r="AO47" s="120"/>
      <c r="AP47" s="120"/>
      <c r="AQ47" s="560" t="str">
        <f>AQ11</f>
        <v/>
      </c>
      <c r="AR47" s="562" t="s">
        <v>196</v>
      </c>
      <c r="AS47" s="562"/>
      <c r="AT47" s="562"/>
      <c r="AU47" s="563"/>
    </row>
    <row r="48" spans="1:48" ht="9.75" customHeight="1" thickBot="1" x14ac:dyDescent="0.25">
      <c r="A48" s="309"/>
      <c r="B48" s="310"/>
      <c r="C48" s="310"/>
      <c r="D48" s="310"/>
      <c r="E48" s="311"/>
      <c r="F48" s="307"/>
      <c r="G48" s="307"/>
      <c r="H48" s="307"/>
      <c r="I48" s="307"/>
      <c r="J48" s="307"/>
      <c r="K48" s="308"/>
      <c r="L48" s="122" t="s">
        <v>121</v>
      </c>
      <c r="M48" s="122"/>
      <c r="N48" s="122"/>
      <c r="O48" s="122"/>
      <c r="P48" s="561"/>
      <c r="Q48" s="312" t="s">
        <v>197</v>
      </c>
      <c r="R48" s="312"/>
      <c r="S48" s="313"/>
      <c r="T48" s="314"/>
      <c r="U48" s="123" t="s">
        <v>121</v>
      </c>
      <c r="V48" s="122"/>
      <c r="W48" s="122"/>
      <c r="X48" s="122"/>
      <c r="Y48" s="561"/>
      <c r="Z48" s="315" t="s">
        <v>197</v>
      </c>
      <c r="AA48" s="312"/>
      <c r="AB48" s="313"/>
      <c r="AC48" s="314"/>
      <c r="AD48" s="122" t="s">
        <v>121</v>
      </c>
      <c r="AE48" s="122"/>
      <c r="AF48" s="122"/>
      <c r="AG48" s="122"/>
      <c r="AH48" s="561"/>
      <c r="AI48" s="315" t="s">
        <v>197</v>
      </c>
      <c r="AJ48" s="312"/>
      <c r="AK48" s="313"/>
      <c r="AL48" s="314"/>
      <c r="AM48" s="123" t="s">
        <v>121</v>
      </c>
      <c r="AN48" s="122"/>
      <c r="AO48" s="122"/>
      <c r="AP48" s="122"/>
      <c r="AQ48" s="561"/>
      <c r="AR48" s="315" t="s">
        <v>197</v>
      </c>
      <c r="AS48" s="312"/>
      <c r="AT48" s="313"/>
      <c r="AU48" s="314"/>
    </row>
    <row r="49" spans="1:47" ht="9.75" customHeight="1" thickTop="1" x14ac:dyDescent="0.2">
      <c r="A49" s="550" t="s">
        <v>198</v>
      </c>
      <c r="B49" s="551"/>
      <c r="C49" s="551"/>
      <c r="D49" s="551"/>
      <c r="E49" s="551"/>
      <c r="F49" s="551"/>
      <c r="G49" s="551"/>
      <c r="H49" s="551"/>
      <c r="I49" s="551"/>
      <c r="J49" s="551"/>
      <c r="K49" s="552"/>
      <c r="L49" s="359"/>
      <c r="M49" s="360"/>
      <c r="N49" s="359"/>
      <c r="O49" s="343"/>
      <c r="P49" s="343"/>
      <c r="Q49" s="344"/>
      <c r="R49" s="345"/>
      <c r="S49" s="556" t="str">
        <f>S13</f>
        <v/>
      </c>
      <c r="T49" s="557"/>
      <c r="U49" s="361"/>
      <c r="V49" s="360"/>
      <c r="W49" s="359"/>
      <c r="X49" s="343"/>
      <c r="Y49" s="343"/>
      <c r="Z49" s="344"/>
      <c r="AA49" s="345"/>
      <c r="AB49" s="556" t="str">
        <f>AB13</f>
        <v/>
      </c>
      <c r="AC49" s="557"/>
      <c r="AD49" s="359"/>
      <c r="AE49" s="360"/>
      <c r="AF49" s="359"/>
      <c r="AG49" s="343"/>
      <c r="AH49" s="343"/>
      <c r="AI49" s="344"/>
      <c r="AJ49" s="347"/>
      <c r="AK49" s="556" t="str">
        <f>AK13</f>
        <v/>
      </c>
      <c r="AL49" s="557"/>
      <c r="AM49" s="361"/>
      <c r="AN49" s="360"/>
      <c r="AO49" s="359"/>
      <c r="AP49" s="343"/>
      <c r="AQ49" s="343"/>
      <c r="AR49" s="344"/>
      <c r="AS49" s="345"/>
      <c r="AT49" s="556" t="str">
        <f>AT13</f>
        <v/>
      </c>
      <c r="AU49" s="557"/>
    </row>
    <row r="50" spans="1:47" ht="9.75" customHeight="1" thickBot="1" x14ac:dyDescent="0.25">
      <c r="A50" s="553"/>
      <c r="B50" s="554"/>
      <c r="C50" s="554"/>
      <c r="D50" s="554"/>
      <c r="E50" s="554"/>
      <c r="F50" s="554"/>
      <c r="G50" s="554"/>
      <c r="H50" s="554"/>
      <c r="I50" s="554"/>
      <c r="J50" s="554"/>
      <c r="K50" s="555"/>
      <c r="L50" s="348" t="str">
        <f t="shared" ref="L50:Q50" si="1">L14</f>
        <v/>
      </c>
      <c r="M50" s="349" t="str">
        <f t="shared" si="1"/>
        <v/>
      </c>
      <c r="N50" s="348" t="str">
        <f t="shared" si="1"/>
        <v/>
      </c>
      <c r="O50" s="350" t="str">
        <f t="shared" si="1"/>
        <v/>
      </c>
      <c r="P50" s="350" t="str">
        <f t="shared" si="1"/>
        <v/>
      </c>
      <c r="Q50" s="350" t="str">
        <f t="shared" si="1"/>
        <v/>
      </c>
      <c r="R50" s="351" t="s">
        <v>199</v>
      </c>
      <c r="S50" s="558"/>
      <c r="T50" s="559"/>
      <c r="U50" s="348" t="str">
        <f t="shared" ref="U50:Z50" si="2">U14</f>
        <v/>
      </c>
      <c r="V50" s="349" t="str">
        <f t="shared" si="2"/>
        <v/>
      </c>
      <c r="W50" s="348" t="str">
        <f t="shared" si="2"/>
        <v/>
      </c>
      <c r="X50" s="350" t="str">
        <f t="shared" si="2"/>
        <v/>
      </c>
      <c r="Y50" s="350" t="str">
        <f t="shared" si="2"/>
        <v/>
      </c>
      <c r="Z50" s="350" t="str">
        <f t="shared" si="2"/>
        <v/>
      </c>
      <c r="AA50" s="351" t="s">
        <v>199</v>
      </c>
      <c r="AB50" s="558"/>
      <c r="AC50" s="559"/>
      <c r="AD50" s="348" t="str">
        <f t="shared" ref="AD50:AI50" si="3">AD14</f>
        <v/>
      </c>
      <c r="AE50" s="349" t="str">
        <f t="shared" si="3"/>
        <v/>
      </c>
      <c r="AF50" s="348" t="str">
        <f t="shared" si="3"/>
        <v/>
      </c>
      <c r="AG50" s="350" t="str">
        <f t="shared" si="3"/>
        <v/>
      </c>
      <c r="AH50" s="350" t="str">
        <f t="shared" si="3"/>
        <v/>
      </c>
      <c r="AI50" s="350" t="str">
        <f t="shared" si="3"/>
        <v/>
      </c>
      <c r="AJ50" s="351" t="s">
        <v>199</v>
      </c>
      <c r="AK50" s="558"/>
      <c r="AL50" s="559"/>
      <c r="AM50" s="352" t="str">
        <f t="shared" ref="AM50:AR50" si="4">AM14</f>
        <v/>
      </c>
      <c r="AN50" s="349" t="str">
        <f t="shared" si="4"/>
        <v/>
      </c>
      <c r="AO50" s="348" t="str">
        <f t="shared" si="4"/>
        <v/>
      </c>
      <c r="AP50" s="350" t="str">
        <f t="shared" si="4"/>
        <v/>
      </c>
      <c r="AQ50" s="350" t="str">
        <f t="shared" si="4"/>
        <v/>
      </c>
      <c r="AR50" s="350" t="str">
        <f t="shared" si="4"/>
        <v/>
      </c>
      <c r="AS50" s="351" t="s">
        <v>199</v>
      </c>
      <c r="AT50" s="558"/>
      <c r="AU50" s="559"/>
    </row>
    <row r="51" spans="1:47" ht="9.75" customHeight="1" x14ac:dyDescent="0.2">
      <c r="A51" s="530" t="s">
        <v>200</v>
      </c>
      <c r="B51" s="531"/>
      <c r="C51" s="531"/>
      <c r="D51" s="531"/>
      <c r="E51" s="531"/>
      <c r="F51" s="531"/>
      <c r="G51" s="531"/>
      <c r="H51" s="531"/>
      <c r="I51" s="531"/>
      <c r="J51" s="531"/>
      <c r="K51" s="532"/>
      <c r="L51" s="524" t="str">
        <f>L15</f>
        <v/>
      </c>
      <c r="M51" s="525"/>
      <c r="N51" s="525"/>
      <c r="O51" s="525"/>
      <c r="P51" s="525"/>
      <c r="Q51" s="525"/>
      <c r="R51" s="525"/>
      <c r="S51" s="525"/>
      <c r="T51" s="526"/>
      <c r="U51" s="524" t="str">
        <f>U15</f>
        <v/>
      </c>
      <c r="V51" s="525"/>
      <c r="W51" s="525"/>
      <c r="X51" s="525"/>
      <c r="Y51" s="525"/>
      <c r="Z51" s="525"/>
      <c r="AA51" s="525"/>
      <c r="AB51" s="525"/>
      <c r="AC51" s="526"/>
      <c r="AD51" s="524" t="str">
        <f>AD15</f>
        <v/>
      </c>
      <c r="AE51" s="525"/>
      <c r="AF51" s="525"/>
      <c r="AG51" s="525"/>
      <c r="AH51" s="525"/>
      <c r="AI51" s="525"/>
      <c r="AJ51" s="525"/>
      <c r="AK51" s="525"/>
      <c r="AL51" s="526"/>
      <c r="AM51" s="524" t="str">
        <f>AM15</f>
        <v/>
      </c>
      <c r="AN51" s="525"/>
      <c r="AO51" s="525"/>
      <c r="AP51" s="525"/>
      <c r="AQ51" s="525"/>
      <c r="AR51" s="525"/>
      <c r="AS51" s="525"/>
      <c r="AT51" s="525"/>
      <c r="AU51" s="526"/>
    </row>
    <row r="52" spans="1:47" ht="9.75" customHeight="1" x14ac:dyDescent="0.2">
      <c r="A52" s="533"/>
      <c r="B52" s="534"/>
      <c r="C52" s="534"/>
      <c r="D52" s="534"/>
      <c r="E52" s="534"/>
      <c r="F52" s="534"/>
      <c r="G52" s="534"/>
      <c r="H52" s="534"/>
      <c r="I52" s="534"/>
      <c r="J52" s="534"/>
      <c r="K52" s="535"/>
      <c r="L52" s="527" t="str">
        <f>L15</f>
        <v/>
      </c>
      <c r="M52" s="528"/>
      <c r="N52" s="528"/>
      <c r="O52" s="528"/>
      <c r="P52" s="528"/>
      <c r="Q52" s="528"/>
      <c r="R52" s="528"/>
      <c r="S52" s="528"/>
      <c r="T52" s="529"/>
      <c r="U52" s="527" t="str">
        <f>U15</f>
        <v/>
      </c>
      <c r="V52" s="528"/>
      <c r="W52" s="528"/>
      <c r="X52" s="528"/>
      <c r="Y52" s="528"/>
      <c r="Z52" s="528"/>
      <c r="AA52" s="528"/>
      <c r="AB52" s="528"/>
      <c r="AC52" s="529"/>
      <c r="AD52" s="527" t="str">
        <f>AD15</f>
        <v/>
      </c>
      <c r="AE52" s="528"/>
      <c r="AF52" s="528"/>
      <c r="AG52" s="528"/>
      <c r="AH52" s="528"/>
      <c r="AI52" s="528"/>
      <c r="AJ52" s="528"/>
      <c r="AK52" s="528"/>
      <c r="AL52" s="529"/>
      <c r="AM52" s="527" t="str">
        <f>AM15</f>
        <v/>
      </c>
      <c r="AN52" s="528"/>
      <c r="AO52" s="528"/>
      <c r="AP52" s="528"/>
      <c r="AQ52" s="528"/>
      <c r="AR52" s="528"/>
      <c r="AS52" s="528"/>
      <c r="AT52" s="528"/>
      <c r="AU52" s="529"/>
    </row>
    <row r="53" spans="1:47" ht="9.75" customHeight="1" x14ac:dyDescent="0.2">
      <c r="A53" s="108" t="s">
        <v>201</v>
      </c>
      <c r="B53" s="109"/>
      <c r="C53" s="109"/>
      <c r="D53" s="109"/>
      <c r="E53" s="109"/>
      <c r="F53" s="109"/>
      <c r="G53" s="109"/>
      <c r="H53" s="109"/>
      <c r="I53" s="109"/>
      <c r="J53" s="109"/>
      <c r="K53" s="124"/>
      <c r="L53" s="524" t="str">
        <f>L17</f>
        <v/>
      </c>
      <c r="M53" s="525"/>
      <c r="N53" s="525"/>
      <c r="O53" s="525"/>
      <c r="P53" s="525"/>
      <c r="Q53" s="525"/>
      <c r="R53" s="525"/>
      <c r="S53" s="525"/>
      <c r="T53" s="526"/>
      <c r="U53" s="524" t="str">
        <f>U17</f>
        <v/>
      </c>
      <c r="V53" s="525"/>
      <c r="W53" s="525"/>
      <c r="X53" s="525"/>
      <c r="Y53" s="525"/>
      <c r="Z53" s="525"/>
      <c r="AA53" s="525"/>
      <c r="AB53" s="525"/>
      <c r="AC53" s="526"/>
      <c r="AD53" s="524" t="str">
        <f>AD17</f>
        <v/>
      </c>
      <c r="AE53" s="525"/>
      <c r="AF53" s="525"/>
      <c r="AG53" s="525"/>
      <c r="AH53" s="525"/>
      <c r="AI53" s="525"/>
      <c r="AJ53" s="525"/>
      <c r="AK53" s="525"/>
      <c r="AL53" s="526"/>
      <c r="AM53" s="524" t="str">
        <f>AM17</f>
        <v/>
      </c>
      <c r="AN53" s="525"/>
      <c r="AO53" s="525"/>
      <c r="AP53" s="525"/>
      <c r="AQ53" s="525"/>
      <c r="AR53" s="525"/>
      <c r="AS53" s="525"/>
      <c r="AT53" s="525"/>
      <c r="AU53" s="526"/>
    </row>
    <row r="54" spans="1:47" ht="9.75" customHeight="1" x14ac:dyDescent="0.2">
      <c r="A54" s="125" t="s">
        <v>202</v>
      </c>
      <c r="B54" s="111"/>
      <c r="C54" s="126"/>
      <c r="D54" s="126"/>
      <c r="E54" s="126"/>
      <c r="F54" s="126"/>
      <c r="G54" s="126"/>
      <c r="H54" s="126"/>
      <c r="I54" s="126"/>
      <c r="J54" s="126"/>
      <c r="K54" s="127"/>
      <c r="L54" s="527" t="str">
        <f>L17</f>
        <v/>
      </c>
      <c r="M54" s="528"/>
      <c r="N54" s="528"/>
      <c r="O54" s="528"/>
      <c r="P54" s="528"/>
      <c r="Q54" s="528"/>
      <c r="R54" s="528"/>
      <c r="S54" s="528"/>
      <c r="T54" s="529"/>
      <c r="U54" s="527" t="str">
        <f>U17</f>
        <v/>
      </c>
      <c r="V54" s="528"/>
      <c r="W54" s="528"/>
      <c r="X54" s="528"/>
      <c r="Y54" s="528"/>
      <c r="Z54" s="528"/>
      <c r="AA54" s="528"/>
      <c r="AB54" s="528"/>
      <c r="AC54" s="529"/>
      <c r="AD54" s="527" t="str">
        <f>AD17</f>
        <v/>
      </c>
      <c r="AE54" s="528"/>
      <c r="AF54" s="528"/>
      <c r="AG54" s="528"/>
      <c r="AH54" s="528"/>
      <c r="AI54" s="528"/>
      <c r="AJ54" s="528"/>
      <c r="AK54" s="528"/>
      <c r="AL54" s="529"/>
      <c r="AM54" s="527" t="str">
        <f>AM17</f>
        <v/>
      </c>
      <c r="AN54" s="528"/>
      <c r="AO54" s="528"/>
      <c r="AP54" s="528"/>
      <c r="AQ54" s="528"/>
      <c r="AR54" s="528"/>
      <c r="AS54" s="528"/>
      <c r="AT54" s="528"/>
      <c r="AU54" s="529"/>
    </row>
    <row r="55" spans="1:47" ht="9.75" customHeight="1" x14ac:dyDescent="0.2">
      <c r="A55" s="128" t="s">
        <v>203</v>
      </c>
      <c r="B55" s="129"/>
      <c r="C55" s="129"/>
      <c r="D55" s="129"/>
      <c r="E55" s="129"/>
      <c r="F55" s="129"/>
      <c r="G55" s="129"/>
      <c r="H55" s="129"/>
      <c r="I55" s="129"/>
      <c r="J55" s="129"/>
      <c r="K55" s="130"/>
      <c r="L55" s="524" t="str">
        <f>L19</f>
        <v/>
      </c>
      <c r="M55" s="525"/>
      <c r="N55" s="525"/>
      <c r="O55" s="525"/>
      <c r="P55" s="525"/>
      <c r="Q55" s="525"/>
      <c r="R55" s="525"/>
      <c r="S55" s="525"/>
      <c r="T55" s="526"/>
      <c r="U55" s="524" t="str">
        <f>U19</f>
        <v/>
      </c>
      <c r="V55" s="525"/>
      <c r="W55" s="525"/>
      <c r="X55" s="525"/>
      <c r="Y55" s="525"/>
      <c r="Z55" s="525"/>
      <c r="AA55" s="525"/>
      <c r="AB55" s="525"/>
      <c r="AC55" s="526"/>
      <c r="AD55" s="524" t="str">
        <f>AD19</f>
        <v/>
      </c>
      <c r="AE55" s="525"/>
      <c r="AF55" s="525"/>
      <c r="AG55" s="525"/>
      <c r="AH55" s="525"/>
      <c r="AI55" s="525"/>
      <c r="AJ55" s="525"/>
      <c r="AK55" s="525"/>
      <c r="AL55" s="526"/>
      <c r="AM55" s="524" t="str">
        <f>AM19</f>
        <v/>
      </c>
      <c r="AN55" s="525"/>
      <c r="AO55" s="525"/>
      <c r="AP55" s="525"/>
      <c r="AQ55" s="525"/>
      <c r="AR55" s="525"/>
      <c r="AS55" s="525"/>
      <c r="AT55" s="525"/>
      <c r="AU55" s="526"/>
    </row>
    <row r="56" spans="1:47" ht="9.75" customHeight="1" x14ac:dyDescent="0.2">
      <c r="A56" s="125" t="s">
        <v>23</v>
      </c>
      <c r="B56" s="111"/>
      <c r="C56" s="115"/>
      <c r="D56" s="115"/>
      <c r="E56" s="115"/>
      <c r="F56" s="115"/>
      <c r="G56" s="115"/>
      <c r="H56" s="115"/>
      <c r="I56" s="115"/>
      <c r="J56" s="115"/>
      <c r="K56" s="127"/>
      <c r="L56" s="527" t="str">
        <f>L19</f>
        <v/>
      </c>
      <c r="M56" s="528"/>
      <c r="N56" s="528"/>
      <c r="O56" s="528"/>
      <c r="P56" s="528"/>
      <c r="Q56" s="528"/>
      <c r="R56" s="528"/>
      <c r="S56" s="528"/>
      <c r="T56" s="529"/>
      <c r="U56" s="527" t="str">
        <f>U19</f>
        <v/>
      </c>
      <c r="V56" s="528"/>
      <c r="W56" s="528"/>
      <c r="X56" s="528"/>
      <c r="Y56" s="528"/>
      <c r="Z56" s="528"/>
      <c r="AA56" s="528"/>
      <c r="AB56" s="528"/>
      <c r="AC56" s="529"/>
      <c r="AD56" s="527" t="str">
        <f>AD19</f>
        <v/>
      </c>
      <c r="AE56" s="528"/>
      <c r="AF56" s="528"/>
      <c r="AG56" s="528"/>
      <c r="AH56" s="528"/>
      <c r="AI56" s="528"/>
      <c r="AJ56" s="528"/>
      <c r="AK56" s="528"/>
      <c r="AL56" s="529"/>
      <c r="AM56" s="527" t="str">
        <f>AM19</f>
        <v/>
      </c>
      <c r="AN56" s="528"/>
      <c r="AO56" s="528"/>
      <c r="AP56" s="528"/>
      <c r="AQ56" s="528"/>
      <c r="AR56" s="528"/>
      <c r="AS56" s="528"/>
      <c r="AT56" s="528"/>
      <c r="AU56" s="529"/>
    </row>
    <row r="57" spans="1:47" ht="9.75" customHeight="1" x14ac:dyDescent="0.2">
      <c r="A57" s="128" t="s">
        <v>204</v>
      </c>
      <c r="B57" s="129"/>
      <c r="C57" s="129"/>
      <c r="D57" s="129"/>
      <c r="E57" s="129"/>
      <c r="F57" s="129"/>
      <c r="G57" s="129"/>
      <c r="H57" s="129"/>
      <c r="I57" s="129"/>
      <c r="J57" s="129"/>
      <c r="K57" s="130"/>
      <c r="L57" s="524" t="str">
        <f>L21</f>
        <v/>
      </c>
      <c r="M57" s="525"/>
      <c r="N57" s="525"/>
      <c r="O57" s="525"/>
      <c r="P57" s="525"/>
      <c r="Q57" s="525"/>
      <c r="R57" s="525"/>
      <c r="S57" s="525"/>
      <c r="T57" s="526"/>
      <c r="U57" s="524" t="str">
        <f>U21</f>
        <v/>
      </c>
      <c r="V57" s="525"/>
      <c r="W57" s="525"/>
      <c r="X57" s="525"/>
      <c r="Y57" s="525"/>
      <c r="Z57" s="525"/>
      <c r="AA57" s="525"/>
      <c r="AB57" s="525"/>
      <c r="AC57" s="526"/>
      <c r="AD57" s="524" t="str">
        <f>AD21</f>
        <v/>
      </c>
      <c r="AE57" s="525"/>
      <c r="AF57" s="525"/>
      <c r="AG57" s="525"/>
      <c r="AH57" s="525"/>
      <c r="AI57" s="525"/>
      <c r="AJ57" s="525"/>
      <c r="AK57" s="525"/>
      <c r="AL57" s="526"/>
      <c r="AM57" s="524" t="str">
        <f>AM21</f>
        <v/>
      </c>
      <c r="AN57" s="525"/>
      <c r="AO57" s="525"/>
      <c r="AP57" s="525"/>
      <c r="AQ57" s="525"/>
      <c r="AR57" s="525"/>
      <c r="AS57" s="525"/>
      <c r="AT57" s="525"/>
      <c r="AU57" s="526"/>
    </row>
    <row r="58" spans="1:47" ht="9.75" customHeight="1" x14ac:dyDescent="0.2">
      <c r="A58" s="125" t="s">
        <v>205</v>
      </c>
      <c r="B58" s="111"/>
      <c r="C58" s="126"/>
      <c r="D58" s="126"/>
      <c r="E58" s="126"/>
      <c r="F58" s="126"/>
      <c r="G58" s="126"/>
      <c r="H58" s="126"/>
      <c r="I58" s="126"/>
      <c r="J58" s="126"/>
      <c r="K58" s="131"/>
      <c r="L58" s="527" t="str">
        <f>L21</f>
        <v/>
      </c>
      <c r="M58" s="528"/>
      <c r="N58" s="528"/>
      <c r="O58" s="528"/>
      <c r="P58" s="528"/>
      <c r="Q58" s="528"/>
      <c r="R58" s="528"/>
      <c r="S58" s="528"/>
      <c r="T58" s="529"/>
      <c r="U58" s="527" t="str">
        <f>U21</f>
        <v/>
      </c>
      <c r="V58" s="528"/>
      <c r="W58" s="528"/>
      <c r="X58" s="528"/>
      <c r="Y58" s="528"/>
      <c r="Z58" s="528"/>
      <c r="AA58" s="528"/>
      <c r="AB58" s="528"/>
      <c r="AC58" s="529"/>
      <c r="AD58" s="527" t="str">
        <f>AD21</f>
        <v/>
      </c>
      <c r="AE58" s="528"/>
      <c r="AF58" s="528"/>
      <c r="AG58" s="528"/>
      <c r="AH58" s="528"/>
      <c r="AI58" s="528"/>
      <c r="AJ58" s="528"/>
      <c r="AK58" s="528"/>
      <c r="AL58" s="529"/>
      <c r="AM58" s="527" t="str">
        <f>AM21</f>
        <v/>
      </c>
      <c r="AN58" s="528"/>
      <c r="AO58" s="528"/>
      <c r="AP58" s="528"/>
      <c r="AQ58" s="528"/>
      <c r="AR58" s="528"/>
      <c r="AS58" s="528"/>
      <c r="AT58" s="528"/>
      <c r="AU58" s="529"/>
    </row>
    <row r="59" spans="1:47" ht="9.75" customHeight="1" x14ac:dyDescent="0.2">
      <c r="A59" s="128" t="s">
        <v>206</v>
      </c>
      <c r="B59" s="129"/>
      <c r="C59" s="129"/>
      <c r="D59" s="129"/>
      <c r="E59" s="129"/>
      <c r="F59" s="129"/>
      <c r="G59" s="129"/>
      <c r="H59" s="129"/>
      <c r="I59" s="129"/>
      <c r="J59" s="129"/>
      <c r="K59" s="130"/>
      <c r="L59" s="524" t="str">
        <f>L23</f>
        <v/>
      </c>
      <c r="M59" s="525"/>
      <c r="N59" s="525"/>
      <c r="O59" s="525"/>
      <c r="P59" s="525"/>
      <c r="Q59" s="525"/>
      <c r="R59" s="525"/>
      <c r="S59" s="525"/>
      <c r="T59" s="526"/>
      <c r="U59" s="524" t="str">
        <f>U23</f>
        <v/>
      </c>
      <c r="V59" s="525"/>
      <c r="W59" s="525"/>
      <c r="X59" s="525"/>
      <c r="Y59" s="525"/>
      <c r="Z59" s="525"/>
      <c r="AA59" s="525"/>
      <c r="AB59" s="525"/>
      <c r="AC59" s="526"/>
      <c r="AD59" s="524" t="str">
        <f>AD23</f>
        <v/>
      </c>
      <c r="AE59" s="525"/>
      <c r="AF59" s="525"/>
      <c r="AG59" s="525"/>
      <c r="AH59" s="525"/>
      <c r="AI59" s="525"/>
      <c r="AJ59" s="525"/>
      <c r="AK59" s="525"/>
      <c r="AL59" s="526"/>
      <c r="AM59" s="524" t="str">
        <f>AM23</f>
        <v/>
      </c>
      <c r="AN59" s="525"/>
      <c r="AO59" s="525"/>
      <c r="AP59" s="525"/>
      <c r="AQ59" s="525"/>
      <c r="AR59" s="525"/>
      <c r="AS59" s="525"/>
      <c r="AT59" s="525"/>
      <c r="AU59" s="526"/>
    </row>
    <row r="60" spans="1:47" ht="9.75" customHeight="1" x14ac:dyDescent="0.2">
      <c r="A60" s="125" t="s">
        <v>207</v>
      </c>
      <c r="B60" s="111"/>
      <c r="C60" s="126"/>
      <c r="D60" s="126"/>
      <c r="E60" s="126"/>
      <c r="F60" s="126"/>
      <c r="G60" s="126"/>
      <c r="H60" s="126"/>
      <c r="I60" s="126"/>
      <c r="J60" s="126"/>
      <c r="K60" s="127"/>
      <c r="L60" s="527" t="str">
        <f>L23</f>
        <v/>
      </c>
      <c r="M60" s="528"/>
      <c r="N60" s="528"/>
      <c r="O60" s="528"/>
      <c r="P60" s="528"/>
      <c r="Q60" s="528"/>
      <c r="R60" s="528"/>
      <c r="S60" s="528"/>
      <c r="T60" s="529"/>
      <c r="U60" s="527" t="str">
        <f>U23</f>
        <v/>
      </c>
      <c r="V60" s="528"/>
      <c r="W60" s="528"/>
      <c r="X60" s="528"/>
      <c r="Y60" s="528"/>
      <c r="Z60" s="528"/>
      <c r="AA60" s="528"/>
      <c r="AB60" s="528"/>
      <c r="AC60" s="529"/>
      <c r="AD60" s="527" t="str">
        <f>AD23</f>
        <v/>
      </c>
      <c r="AE60" s="528"/>
      <c r="AF60" s="528"/>
      <c r="AG60" s="528"/>
      <c r="AH60" s="528"/>
      <c r="AI60" s="528"/>
      <c r="AJ60" s="528"/>
      <c r="AK60" s="528"/>
      <c r="AL60" s="529"/>
      <c r="AM60" s="527" t="str">
        <f>AM23</f>
        <v/>
      </c>
      <c r="AN60" s="528"/>
      <c r="AO60" s="528"/>
      <c r="AP60" s="528"/>
      <c r="AQ60" s="528"/>
      <c r="AR60" s="528"/>
      <c r="AS60" s="528"/>
      <c r="AT60" s="528"/>
      <c r="AU60" s="529"/>
    </row>
    <row r="61" spans="1:47" ht="9.75" customHeight="1" x14ac:dyDescent="0.2">
      <c r="A61" s="128" t="s">
        <v>208</v>
      </c>
      <c r="B61" s="129"/>
      <c r="C61" s="129"/>
      <c r="D61" s="129"/>
      <c r="E61" s="129"/>
      <c r="F61" s="129"/>
      <c r="G61" s="129"/>
      <c r="H61" s="129"/>
      <c r="I61" s="129"/>
      <c r="J61" s="129"/>
      <c r="K61" s="130"/>
      <c r="L61" s="524" t="str">
        <f>L25</f>
        <v/>
      </c>
      <c r="M61" s="525"/>
      <c r="N61" s="525"/>
      <c r="O61" s="525"/>
      <c r="P61" s="525"/>
      <c r="Q61" s="525"/>
      <c r="R61" s="525"/>
      <c r="S61" s="525"/>
      <c r="T61" s="526"/>
      <c r="U61" s="524" t="str">
        <f>U25</f>
        <v/>
      </c>
      <c r="V61" s="525"/>
      <c r="W61" s="525"/>
      <c r="X61" s="525"/>
      <c r="Y61" s="525"/>
      <c r="Z61" s="525"/>
      <c r="AA61" s="525"/>
      <c r="AB61" s="525"/>
      <c r="AC61" s="526"/>
      <c r="AD61" s="524" t="str">
        <f>AD25</f>
        <v/>
      </c>
      <c r="AE61" s="525"/>
      <c r="AF61" s="525"/>
      <c r="AG61" s="525"/>
      <c r="AH61" s="525"/>
      <c r="AI61" s="525"/>
      <c r="AJ61" s="525"/>
      <c r="AK61" s="525"/>
      <c r="AL61" s="526"/>
      <c r="AM61" s="524" t="str">
        <f>AM25</f>
        <v/>
      </c>
      <c r="AN61" s="525"/>
      <c r="AO61" s="525"/>
      <c r="AP61" s="525"/>
      <c r="AQ61" s="525"/>
      <c r="AR61" s="525"/>
      <c r="AS61" s="525"/>
      <c r="AT61" s="525"/>
      <c r="AU61" s="526"/>
    </row>
    <row r="62" spans="1:47" ht="9.75" customHeight="1" x14ac:dyDescent="0.2">
      <c r="A62" s="125" t="s">
        <v>209</v>
      </c>
      <c r="B62" s="117"/>
      <c r="C62" s="115"/>
      <c r="D62" s="115"/>
      <c r="E62" s="115"/>
      <c r="F62" s="115"/>
      <c r="G62" s="115"/>
      <c r="H62" s="115"/>
      <c r="I62" s="115"/>
      <c r="J62" s="115"/>
      <c r="K62" s="127"/>
      <c r="L62" s="527" t="str">
        <f>L25</f>
        <v/>
      </c>
      <c r="M62" s="528"/>
      <c r="N62" s="528"/>
      <c r="O62" s="528"/>
      <c r="P62" s="528"/>
      <c r="Q62" s="528"/>
      <c r="R62" s="528"/>
      <c r="S62" s="528"/>
      <c r="T62" s="529"/>
      <c r="U62" s="527" t="str">
        <f>U25</f>
        <v/>
      </c>
      <c r="V62" s="528"/>
      <c r="W62" s="528"/>
      <c r="X62" s="528"/>
      <c r="Y62" s="528"/>
      <c r="Z62" s="528"/>
      <c r="AA62" s="528"/>
      <c r="AB62" s="528"/>
      <c r="AC62" s="529"/>
      <c r="AD62" s="527" t="str">
        <f>AD25</f>
        <v/>
      </c>
      <c r="AE62" s="528"/>
      <c r="AF62" s="528"/>
      <c r="AG62" s="528"/>
      <c r="AH62" s="528"/>
      <c r="AI62" s="528"/>
      <c r="AJ62" s="528"/>
      <c r="AK62" s="528"/>
      <c r="AL62" s="529"/>
      <c r="AM62" s="527" t="str">
        <f>AM25</f>
        <v/>
      </c>
      <c r="AN62" s="528"/>
      <c r="AO62" s="528"/>
      <c r="AP62" s="528"/>
      <c r="AQ62" s="528"/>
      <c r="AR62" s="528"/>
      <c r="AS62" s="528"/>
      <c r="AT62" s="528"/>
      <c r="AU62" s="529"/>
    </row>
    <row r="63" spans="1:47" ht="9.75" customHeight="1" x14ac:dyDescent="0.2">
      <c r="A63" s="128" t="s">
        <v>537</v>
      </c>
      <c r="B63" s="129"/>
      <c r="C63" s="129"/>
      <c r="D63" s="129"/>
      <c r="E63" s="129"/>
      <c r="F63" s="129"/>
      <c r="G63" s="129"/>
      <c r="H63" s="129"/>
      <c r="I63" s="129"/>
      <c r="J63" s="129"/>
      <c r="K63" s="130"/>
      <c r="L63" s="524" t="str">
        <f>L27</f>
        <v/>
      </c>
      <c r="M63" s="525"/>
      <c r="N63" s="525"/>
      <c r="O63" s="525"/>
      <c r="P63" s="525"/>
      <c r="Q63" s="525"/>
      <c r="R63" s="525"/>
      <c r="S63" s="525"/>
      <c r="T63" s="526"/>
      <c r="U63" s="524" t="str">
        <f>U27</f>
        <v/>
      </c>
      <c r="V63" s="525"/>
      <c r="W63" s="525"/>
      <c r="X63" s="525"/>
      <c r="Y63" s="525"/>
      <c r="Z63" s="525"/>
      <c r="AA63" s="525"/>
      <c r="AB63" s="525"/>
      <c r="AC63" s="526"/>
      <c r="AD63" s="524" t="str">
        <f>AD27</f>
        <v/>
      </c>
      <c r="AE63" s="525"/>
      <c r="AF63" s="525"/>
      <c r="AG63" s="525"/>
      <c r="AH63" s="525"/>
      <c r="AI63" s="525"/>
      <c r="AJ63" s="525"/>
      <c r="AK63" s="525"/>
      <c r="AL63" s="526"/>
      <c r="AM63" s="524" t="str">
        <f>AM27</f>
        <v/>
      </c>
      <c r="AN63" s="525"/>
      <c r="AO63" s="525"/>
      <c r="AP63" s="525"/>
      <c r="AQ63" s="525"/>
      <c r="AR63" s="525"/>
      <c r="AS63" s="525"/>
      <c r="AT63" s="525"/>
      <c r="AU63" s="526"/>
    </row>
    <row r="64" spans="1:47" ht="9.75" customHeight="1" x14ac:dyDescent="0.2">
      <c r="A64" s="114" t="s">
        <v>536</v>
      </c>
      <c r="B64" s="115"/>
      <c r="C64" s="115"/>
      <c r="D64" s="115"/>
      <c r="E64" s="115"/>
      <c r="F64" s="115"/>
      <c r="G64" s="115"/>
      <c r="H64" s="115"/>
      <c r="I64" s="115"/>
      <c r="J64" s="115"/>
      <c r="K64" s="127"/>
      <c r="L64" s="527" t="str">
        <f>L27</f>
        <v/>
      </c>
      <c r="M64" s="528"/>
      <c r="N64" s="528"/>
      <c r="O64" s="528"/>
      <c r="P64" s="528"/>
      <c r="Q64" s="528"/>
      <c r="R64" s="528"/>
      <c r="S64" s="528"/>
      <c r="T64" s="529"/>
      <c r="U64" s="527" t="str">
        <f>U27</f>
        <v/>
      </c>
      <c r="V64" s="528"/>
      <c r="W64" s="528"/>
      <c r="X64" s="528"/>
      <c r="Y64" s="528"/>
      <c r="Z64" s="528"/>
      <c r="AA64" s="528"/>
      <c r="AB64" s="528"/>
      <c r="AC64" s="529"/>
      <c r="AD64" s="527" t="str">
        <f>AD27</f>
        <v/>
      </c>
      <c r="AE64" s="528"/>
      <c r="AF64" s="528"/>
      <c r="AG64" s="528"/>
      <c r="AH64" s="528"/>
      <c r="AI64" s="528"/>
      <c r="AJ64" s="528"/>
      <c r="AK64" s="528"/>
      <c r="AL64" s="529"/>
      <c r="AM64" s="527" t="str">
        <f>AM27</f>
        <v/>
      </c>
      <c r="AN64" s="528"/>
      <c r="AO64" s="528"/>
      <c r="AP64" s="528"/>
      <c r="AQ64" s="528"/>
      <c r="AR64" s="528"/>
      <c r="AS64" s="528"/>
      <c r="AT64" s="528"/>
      <c r="AU64" s="529"/>
    </row>
    <row r="65" spans="1:48" ht="9.75" customHeight="1" x14ac:dyDescent="0.2">
      <c r="A65" s="132" t="s">
        <v>210</v>
      </c>
      <c r="B65" s="133"/>
      <c r="C65" s="133"/>
      <c r="D65" s="133"/>
      <c r="E65" s="133"/>
      <c r="F65" s="133"/>
      <c r="G65" s="133"/>
      <c r="H65" s="133"/>
      <c r="I65" s="133"/>
      <c r="J65" s="133"/>
      <c r="K65" s="134"/>
      <c r="L65" s="524" t="str">
        <f>L29</f>
        <v/>
      </c>
      <c r="M65" s="525"/>
      <c r="N65" s="525"/>
      <c r="O65" s="525"/>
      <c r="P65" s="525"/>
      <c r="Q65" s="525"/>
      <c r="R65" s="525"/>
      <c r="S65" s="525"/>
      <c r="T65" s="526"/>
      <c r="U65" s="524" t="str">
        <f>U29</f>
        <v/>
      </c>
      <c r="V65" s="525"/>
      <c r="W65" s="525"/>
      <c r="X65" s="525"/>
      <c r="Y65" s="525"/>
      <c r="Z65" s="525"/>
      <c r="AA65" s="525"/>
      <c r="AB65" s="525"/>
      <c r="AC65" s="526"/>
      <c r="AD65" s="524" t="str">
        <f>AD29</f>
        <v/>
      </c>
      <c r="AE65" s="525"/>
      <c r="AF65" s="525"/>
      <c r="AG65" s="525"/>
      <c r="AH65" s="525"/>
      <c r="AI65" s="525"/>
      <c r="AJ65" s="525"/>
      <c r="AK65" s="525"/>
      <c r="AL65" s="526"/>
      <c r="AM65" s="524" t="str">
        <f>AM29</f>
        <v/>
      </c>
      <c r="AN65" s="525"/>
      <c r="AO65" s="525"/>
      <c r="AP65" s="525"/>
      <c r="AQ65" s="525"/>
      <c r="AR65" s="525"/>
      <c r="AS65" s="525"/>
      <c r="AT65" s="525"/>
      <c r="AU65" s="526"/>
    </row>
    <row r="66" spans="1:48" ht="9.75" customHeight="1" thickBot="1" x14ac:dyDescent="0.25">
      <c r="A66" s="135" t="s">
        <v>535</v>
      </c>
      <c r="B66" s="111"/>
      <c r="C66" s="111"/>
      <c r="D66" s="111"/>
      <c r="E66" s="111"/>
      <c r="F66" s="111"/>
      <c r="G66" s="111"/>
      <c r="H66" s="111"/>
      <c r="I66" s="111"/>
      <c r="J66" s="111"/>
      <c r="K66" s="134"/>
      <c r="L66" s="527" t="str">
        <f>L29</f>
        <v/>
      </c>
      <c r="M66" s="528"/>
      <c r="N66" s="528"/>
      <c r="O66" s="528"/>
      <c r="P66" s="528"/>
      <c r="Q66" s="528"/>
      <c r="R66" s="528"/>
      <c r="S66" s="528"/>
      <c r="T66" s="529"/>
      <c r="U66" s="527" t="str">
        <f>U29</f>
        <v/>
      </c>
      <c r="V66" s="528"/>
      <c r="W66" s="528"/>
      <c r="X66" s="528"/>
      <c r="Y66" s="528"/>
      <c r="Z66" s="528"/>
      <c r="AA66" s="528"/>
      <c r="AB66" s="528"/>
      <c r="AC66" s="529"/>
      <c r="AD66" s="527" t="str">
        <f>AD29</f>
        <v/>
      </c>
      <c r="AE66" s="528"/>
      <c r="AF66" s="528"/>
      <c r="AG66" s="528"/>
      <c r="AH66" s="528"/>
      <c r="AI66" s="528"/>
      <c r="AJ66" s="528"/>
      <c r="AK66" s="528"/>
      <c r="AL66" s="529"/>
      <c r="AM66" s="527" t="str">
        <f>AM29</f>
        <v/>
      </c>
      <c r="AN66" s="528"/>
      <c r="AO66" s="528"/>
      <c r="AP66" s="528"/>
      <c r="AQ66" s="528"/>
      <c r="AR66" s="528"/>
      <c r="AS66" s="528"/>
      <c r="AT66" s="528"/>
      <c r="AU66" s="529"/>
    </row>
    <row r="67" spans="1:48" ht="9.75" customHeight="1" thickTop="1" x14ac:dyDescent="0.2">
      <c r="A67" s="136" t="s">
        <v>211</v>
      </c>
      <c r="B67" s="137"/>
      <c r="C67" s="137"/>
      <c r="D67" s="137"/>
      <c r="E67" s="137"/>
      <c r="F67" s="137"/>
      <c r="G67" s="137"/>
      <c r="H67" s="137"/>
      <c r="I67" s="137"/>
      <c r="J67" s="137"/>
      <c r="K67" s="138"/>
      <c r="L67" s="353"/>
      <c r="M67" s="353"/>
      <c r="N67" s="354"/>
      <c r="O67" s="353"/>
      <c r="P67" s="354"/>
      <c r="Q67" s="353"/>
      <c r="R67" s="353"/>
      <c r="S67" s="353"/>
      <c r="T67" s="522" t="s">
        <v>199</v>
      </c>
      <c r="U67" s="353"/>
      <c r="V67" s="353"/>
      <c r="W67" s="354"/>
      <c r="X67" s="353"/>
      <c r="Y67" s="354"/>
      <c r="Z67" s="353"/>
      <c r="AA67" s="353"/>
      <c r="AB67" s="353"/>
      <c r="AC67" s="522" t="s">
        <v>199</v>
      </c>
      <c r="AD67" s="353"/>
      <c r="AE67" s="353"/>
      <c r="AF67" s="354"/>
      <c r="AG67" s="353"/>
      <c r="AH67" s="354"/>
      <c r="AI67" s="353"/>
      <c r="AJ67" s="353"/>
      <c r="AK67" s="353"/>
      <c r="AL67" s="522" t="s">
        <v>199</v>
      </c>
      <c r="AM67" s="355"/>
      <c r="AN67" s="355"/>
      <c r="AO67" s="356"/>
      <c r="AP67" s="355"/>
      <c r="AQ67" s="356"/>
      <c r="AR67" s="355"/>
      <c r="AS67" s="355"/>
      <c r="AT67" s="355"/>
      <c r="AU67" s="522" t="s">
        <v>199</v>
      </c>
    </row>
    <row r="68" spans="1:48" ht="9.75" customHeight="1" thickBot="1" x14ac:dyDescent="0.25">
      <c r="A68" s="139" t="s">
        <v>212</v>
      </c>
      <c r="B68" s="140"/>
      <c r="C68" s="140"/>
      <c r="D68" s="140"/>
      <c r="E68" s="140"/>
      <c r="F68" s="140"/>
      <c r="G68" s="140"/>
      <c r="H68" s="140"/>
      <c r="I68" s="140"/>
      <c r="J68" s="140"/>
      <c r="K68" s="141"/>
      <c r="L68" s="357" t="str">
        <f t="shared" ref="L68:S68" si="5">L32</f>
        <v/>
      </c>
      <c r="M68" s="358" t="str">
        <f t="shared" si="5"/>
        <v/>
      </c>
      <c r="N68" s="358" t="str">
        <f t="shared" si="5"/>
        <v/>
      </c>
      <c r="O68" s="358" t="str">
        <f t="shared" si="5"/>
        <v/>
      </c>
      <c r="P68" s="358" t="str">
        <f t="shared" si="5"/>
        <v/>
      </c>
      <c r="Q68" s="358" t="str">
        <f t="shared" si="5"/>
        <v/>
      </c>
      <c r="R68" s="358" t="str">
        <f t="shared" si="5"/>
        <v/>
      </c>
      <c r="S68" s="358" t="str">
        <f t="shared" si="5"/>
        <v/>
      </c>
      <c r="T68" s="523"/>
      <c r="U68" s="357" t="str">
        <f t="shared" ref="U68:AB68" si="6">U32</f>
        <v/>
      </c>
      <c r="V68" s="358" t="str">
        <f t="shared" si="6"/>
        <v/>
      </c>
      <c r="W68" s="358" t="str">
        <f t="shared" si="6"/>
        <v/>
      </c>
      <c r="X68" s="358" t="str">
        <f t="shared" si="6"/>
        <v/>
      </c>
      <c r="Y68" s="358" t="str">
        <f t="shared" si="6"/>
        <v/>
      </c>
      <c r="Z68" s="358" t="str">
        <f t="shared" si="6"/>
        <v/>
      </c>
      <c r="AA68" s="358" t="str">
        <f t="shared" si="6"/>
        <v/>
      </c>
      <c r="AB68" s="358" t="str">
        <f t="shared" si="6"/>
        <v/>
      </c>
      <c r="AC68" s="523"/>
      <c r="AD68" s="357" t="str">
        <f t="shared" ref="AD68:AK68" si="7">AD32</f>
        <v/>
      </c>
      <c r="AE68" s="358" t="str">
        <f t="shared" si="7"/>
        <v/>
      </c>
      <c r="AF68" s="358" t="str">
        <f t="shared" si="7"/>
        <v/>
      </c>
      <c r="AG68" s="358" t="str">
        <f t="shared" si="7"/>
        <v/>
      </c>
      <c r="AH68" s="358" t="str">
        <f t="shared" si="7"/>
        <v/>
      </c>
      <c r="AI68" s="358" t="str">
        <f t="shared" si="7"/>
        <v/>
      </c>
      <c r="AJ68" s="358" t="str">
        <f t="shared" si="7"/>
        <v/>
      </c>
      <c r="AK68" s="358" t="str">
        <f t="shared" si="7"/>
        <v/>
      </c>
      <c r="AL68" s="523"/>
      <c r="AM68" s="357" t="str">
        <f t="shared" ref="AM68:AT68" si="8">AM32</f>
        <v/>
      </c>
      <c r="AN68" s="358" t="str">
        <f t="shared" si="8"/>
        <v/>
      </c>
      <c r="AO68" s="358" t="str">
        <f t="shared" si="8"/>
        <v/>
      </c>
      <c r="AP68" s="358" t="str">
        <f t="shared" si="8"/>
        <v/>
      </c>
      <c r="AQ68" s="358" t="str">
        <f t="shared" si="8"/>
        <v/>
      </c>
      <c r="AR68" s="358" t="str">
        <f t="shared" si="8"/>
        <v/>
      </c>
      <c r="AS68" s="358" t="str">
        <f t="shared" si="8"/>
        <v/>
      </c>
      <c r="AT68" s="358" t="str">
        <f t="shared" si="8"/>
        <v/>
      </c>
      <c r="AU68" s="523"/>
      <c r="AV68" s="102"/>
    </row>
    <row r="69" spans="1:48" ht="9.75" customHeight="1" thickTop="1" x14ac:dyDescent="0.2">
      <c r="A69" s="316"/>
      <c r="B69" s="317"/>
      <c r="C69" s="317"/>
      <c r="D69" s="317"/>
      <c r="E69" s="317"/>
      <c r="F69" s="317"/>
      <c r="G69" s="317"/>
      <c r="H69" s="317"/>
      <c r="I69" s="317"/>
      <c r="J69" s="317"/>
      <c r="K69" s="317"/>
      <c r="L69" s="317"/>
      <c r="M69" s="317"/>
      <c r="N69" s="317"/>
      <c r="O69" s="317"/>
      <c r="P69" s="317"/>
      <c r="Q69" s="317"/>
      <c r="R69" s="317"/>
      <c r="S69" s="317"/>
      <c r="T69" s="317"/>
      <c r="U69" s="317"/>
      <c r="V69" s="317"/>
      <c r="W69" s="317"/>
      <c r="X69" s="317"/>
      <c r="Y69" s="317"/>
      <c r="Z69" s="317"/>
      <c r="AA69" s="317"/>
      <c r="AB69" s="317"/>
      <c r="AC69" s="317"/>
      <c r="AD69" s="317"/>
      <c r="AE69" s="317"/>
      <c r="AF69" s="317"/>
      <c r="AG69" s="317"/>
      <c r="AH69" s="317"/>
      <c r="AI69" s="317"/>
      <c r="AJ69" s="317"/>
      <c r="AK69" s="317"/>
      <c r="AL69" s="317"/>
      <c r="AM69" s="317"/>
      <c r="AN69" s="317"/>
      <c r="AO69" s="317"/>
      <c r="AP69" s="317"/>
      <c r="AQ69" s="317"/>
      <c r="AR69" s="317"/>
      <c r="AS69" s="317"/>
      <c r="AT69" s="317"/>
      <c r="AU69" s="318"/>
      <c r="AV69" s="102"/>
    </row>
    <row r="70" spans="1:48" ht="15" customHeight="1" x14ac:dyDescent="0.35">
      <c r="A70" s="319" t="s">
        <v>213</v>
      </c>
      <c r="B70" s="320"/>
      <c r="C70" s="320"/>
      <c r="D70" s="320"/>
      <c r="E70" s="321"/>
      <c r="F70" s="317"/>
      <c r="G70" s="317"/>
      <c r="H70" s="317"/>
      <c r="I70" s="317"/>
      <c r="J70" s="317"/>
      <c r="K70" s="317"/>
      <c r="L70" s="320" t="s">
        <v>221</v>
      </c>
      <c r="M70" s="317"/>
      <c r="N70" s="321"/>
      <c r="O70" s="521" t="str">
        <f>O34</f>
        <v/>
      </c>
      <c r="P70" s="521"/>
      <c r="Q70" s="521"/>
      <c r="R70" s="521"/>
      <c r="S70" s="521"/>
      <c r="T70" s="521"/>
      <c r="U70" s="317"/>
      <c r="V70" s="317"/>
      <c r="W70" s="317"/>
      <c r="X70" s="317"/>
      <c r="Y70" s="317"/>
      <c r="Z70" s="322"/>
      <c r="AA70" s="317"/>
      <c r="AB70" s="317"/>
      <c r="AC70" s="317"/>
      <c r="AD70" s="317"/>
      <c r="AE70" s="317"/>
      <c r="AF70" s="317"/>
      <c r="AG70" s="317"/>
      <c r="AH70" s="317"/>
      <c r="AI70" s="317"/>
      <c r="AJ70" s="317"/>
      <c r="AK70" s="317"/>
      <c r="AL70" s="317"/>
      <c r="AM70" s="317"/>
      <c r="AN70" s="317"/>
      <c r="AO70" s="317"/>
      <c r="AP70" s="317"/>
      <c r="AQ70" s="317"/>
      <c r="AR70" s="317"/>
      <c r="AS70" s="317"/>
      <c r="AT70" s="317"/>
      <c r="AU70" s="318"/>
      <c r="AV70" s="102"/>
    </row>
    <row r="71" spans="1:48" ht="15" customHeight="1" thickBot="1" x14ac:dyDescent="0.4">
      <c r="A71" s="323" t="s">
        <v>214</v>
      </c>
      <c r="B71" s="324"/>
      <c r="C71" s="324"/>
      <c r="D71" s="324"/>
      <c r="E71" s="325"/>
      <c r="F71" s="326"/>
      <c r="G71" s="326"/>
      <c r="H71" s="326"/>
      <c r="I71" s="326"/>
      <c r="J71" s="326"/>
      <c r="K71" s="326"/>
      <c r="L71" s="326"/>
      <c r="M71" s="326"/>
      <c r="N71" s="325"/>
      <c r="O71" s="326"/>
      <c r="P71" s="326"/>
      <c r="Q71" s="326"/>
      <c r="R71" s="326"/>
      <c r="S71" s="326"/>
      <c r="T71" s="326"/>
      <c r="U71" s="326"/>
      <c r="V71" s="326"/>
      <c r="W71" s="326"/>
      <c r="X71" s="326"/>
      <c r="Y71" s="326"/>
      <c r="Z71" s="327"/>
      <c r="AA71" s="326"/>
      <c r="AB71" s="326"/>
      <c r="AC71" s="326"/>
      <c r="AD71" s="326"/>
      <c r="AE71" s="326"/>
      <c r="AF71" s="326"/>
      <c r="AG71" s="326"/>
      <c r="AH71" s="326"/>
      <c r="AI71" s="326"/>
      <c r="AJ71" s="326"/>
      <c r="AK71" s="326"/>
      <c r="AL71" s="326"/>
      <c r="AM71" s="326"/>
      <c r="AN71" s="326"/>
      <c r="AO71" s="326"/>
      <c r="AP71" s="326"/>
      <c r="AQ71" s="326"/>
      <c r="AR71" s="326"/>
      <c r="AS71" s="326"/>
      <c r="AT71" s="326"/>
      <c r="AU71" s="328"/>
      <c r="AV71" s="102"/>
    </row>
    <row r="72" spans="1:48" ht="9.75" customHeight="1" thickTop="1" x14ac:dyDescent="0.2"/>
  </sheetData>
  <mergeCells count="130">
    <mergeCell ref="L63:T64"/>
    <mergeCell ref="U63:AC64"/>
    <mergeCell ref="AD63:AL64"/>
    <mergeCell ref="L57:T58"/>
    <mergeCell ref="U57:AC58"/>
    <mergeCell ref="AD57:AL58"/>
    <mergeCell ref="L61:T62"/>
    <mergeCell ref="U61:AC62"/>
    <mergeCell ref="AM61:AU62"/>
    <mergeCell ref="L51:T52"/>
    <mergeCell ref="U51:AC52"/>
    <mergeCell ref="AD51:AL52"/>
    <mergeCell ref="AH45:AJ46"/>
    <mergeCell ref="E42:AB42"/>
    <mergeCell ref="I43:AP44"/>
    <mergeCell ref="F40:AA40"/>
    <mergeCell ref="AD40:AH40"/>
    <mergeCell ref="E45:Q46"/>
    <mergeCell ref="R45:U46"/>
    <mergeCell ref="A49:K50"/>
    <mergeCell ref="P47:P48"/>
    <mergeCell ref="AH47:AH48"/>
    <mergeCell ref="Q47:T47"/>
    <mergeCell ref="U21:AC22"/>
    <mergeCell ref="U27:AC28"/>
    <mergeCell ref="U29:AC30"/>
    <mergeCell ref="S49:T50"/>
    <mergeCell ref="O34:T34"/>
    <mergeCell ref="Y47:Y48"/>
    <mergeCell ref="Z47:AC47"/>
    <mergeCell ref="F41:AA41"/>
    <mergeCell ref="T31:T32"/>
    <mergeCell ref="V45:AG46"/>
    <mergeCell ref="AD39:AH39"/>
    <mergeCell ref="A9:D10"/>
    <mergeCell ref="R9:U10"/>
    <mergeCell ref="AR11:AU11"/>
    <mergeCell ref="A15:K16"/>
    <mergeCell ref="AB49:AC50"/>
    <mergeCell ref="AK49:AL50"/>
    <mergeCell ref="AT49:AU50"/>
    <mergeCell ref="AC31:AC32"/>
    <mergeCell ref="AD21:AL22"/>
    <mergeCell ref="AD19:AL20"/>
    <mergeCell ref="W37:AV37"/>
    <mergeCell ref="AI47:AL47"/>
    <mergeCell ref="AU43:AU44"/>
    <mergeCell ref="L15:T16"/>
    <mergeCell ref="L17:T18"/>
    <mergeCell ref="L19:T20"/>
    <mergeCell ref="A45:D46"/>
    <mergeCell ref="AQ47:AQ48"/>
    <mergeCell ref="AR47:AU47"/>
    <mergeCell ref="AK45:AU46"/>
    <mergeCell ref="L21:T22"/>
    <mergeCell ref="L23:T24"/>
    <mergeCell ref="L25:T26"/>
    <mergeCell ref="L27:T28"/>
    <mergeCell ref="AH11:AH12"/>
    <mergeCell ref="E9:Q10"/>
    <mergeCell ref="V9:AG10"/>
    <mergeCell ref="AK9:AU10"/>
    <mergeCell ref="L29:T30"/>
    <mergeCell ref="AM23:AU24"/>
    <mergeCell ref="AM25:AU26"/>
    <mergeCell ref="AM27:AU28"/>
    <mergeCell ref="AM29:AU30"/>
    <mergeCell ref="AM15:AU16"/>
    <mergeCell ref="AM17:AU18"/>
    <mergeCell ref="AM19:AU20"/>
    <mergeCell ref="AM21:AU22"/>
    <mergeCell ref="AD29:AL30"/>
    <mergeCell ref="AD27:AL28"/>
    <mergeCell ref="AD17:AL18"/>
    <mergeCell ref="AD15:AL16"/>
    <mergeCell ref="U23:AC24"/>
    <mergeCell ref="U25:AC26"/>
    <mergeCell ref="AD25:AL26"/>
    <mergeCell ref="AD23:AL24"/>
    <mergeCell ref="U15:AC16"/>
    <mergeCell ref="U17:AC18"/>
    <mergeCell ref="U19:AC20"/>
    <mergeCell ref="AU67:AU68"/>
    <mergeCell ref="L65:T66"/>
    <mergeCell ref="W1:AV1"/>
    <mergeCell ref="AD3:AH3"/>
    <mergeCell ref="F4:AA4"/>
    <mergeCell ref="AD4:AH4"/>
    <mergeCell ref="AU31:AU32"/>
    <mergeCell ref="F5:AA5"/>
    <mergeCell ref="E6:AB6"/>
    <mergeCell ref="AH9:AJ10"/>
    <mergeCell ref="A13:K14"/>
    <mergeCell ref="AL31:AL32"/>
    <mergeCell ref="AT13:AU14"/>
    <mergeCell ref="AQ11:AQ12"/>
    <mergeCell ref="AI11:AL11"/>
    <mergeCell ref="Q11:T11"/>
    <mergeCell ref="Z11:AC11"/>
    <mergeCell ref="AB13:AC14"/>
    <mergeCell ref="AK13:AL14"/>
    <mergeCell ref="S13:T14"/>
    <mergeCell ref="AU7:AU8"/>
    <mergeCell ref="I7:AP8"/>
    <mergeCell ref="P11:P12"/>
    <mergeCell ref="Y11:Y12"/>
    <mergeCell ref="O70:T70"/>
    <mergeCell ref="T67:T68"/>
    <mergeCell ref="AC67:AC68"/>
    <mergeCell ref="AL67:AL68"/>
    <mergeCell ref="U65:AC66"/>
    <mergeCell ref="AD65:AL66"/>
    <mergeCell ref="AM65:AU66"/>
    <mergeCell ref="A51:K52"/>
    <mergeCell ref="L53:T54"/>
    <mergeCell ref="U53:AC54"/>
    <mergeCell ref="AD53:AL54"/>
    <mergeCell ref="AM51:AU52"/>
    <mergeCell ref="AM57:AU58"/>
    <mergeCell ref="AM59:AU60"/>
    <mergeCell ref="AM63:AU64"/>
    <mergeCell ref="AM53:AU54"/>
    <mergeCell ref="L55:T56"/>
    <mergeCell ref="U55:AC56"/>
    <mergeCell ref="AD55:AL56"/>
    <mergeCell ref="AM55:AU56"/>
    <mergeCell ref="AD61:AL62"/>
    <mergeCell ref="L59:T60"/>
    <mergeCell ref="U59:AC60"/>
    <mergeCell ref="AD59:AL60"/>
  </mergeCells>
  <phoneticPr fontId="7" type="noConversion"/>
  <pageMargins left="0.66" right="0.61" top="0.38541666666666669" bottom="1.0416666666666666E-2" header="0.5" footer="0.5"/>
  <pageSetup paperSize="9" orientation="portrait" verticalDpi="1200" r:id="rId1"/>
  <headerFooter alignWithMargins="0"/>
  <drawing r:id="rId2"/>
  <legacyDrawing r:id="rId3"/>
  <oleObjects>
    <mc:AlternateContent xmlns:mc="http://schemas.openxmlformats.org/markup-compatibility/2006">
      <mc:Choice Requires="x14">
        <oleObject progId="CorelDRAW.Graphic.11" shapeId="16385" r:id="rId4">
          <objectPr defaultSize="0" autoPict="0" r:id="rId5">
            <anchor>
              <from>
                <xdr:col>0</xdr:col>
                <xdr:colOff>66675</xdr:colOff>
                <xdr:row>2</xdr:row>
                <xdr:rowOff>47625</xdr:rowOff>
              </from>
              <to>
                <xdr:col>4</xdr:col>
                <xdr:colOff>0</xdr:colOff>
                <xdr:row>4</xdr:row>
                <xdr:rowOff>85725</xdr:rowOff>
              </to>
            </anchor>
          </objectPr>
        </oleObject>
      </mc:Choice>
      <mc:Fallback>
        <oleObject progId="CorelDRAW.Graphic.11" shapeId="16385" r:id="rId4"/>
      </mc:Fallback>
    </mc:AlternateContent>
    <mc:AlternateContent xmlns:mc="http://schemas.openxmlformats.org/markup-compatibility/2006">
      <mc:Choice Requires="x14">
        <oleObject progId="CorelDRAW.Graphic.11" shapeId="16386" r:id="rId6">
          <objectPr defaultSize="0" autoPict="0" r:id="rId5">
            <anchor>
              <from>
                <xdr:col>0</xdr:col>
                <xdr:colOff>66675</xdr:colOff>
                <xdr:row>38</xdr:row>
                <xdr:rowOff>104775</xdr:rowOff>
              </from>
              <to>
                <xdr:col>4</xdr:col>
                <xdr:colOff>0</xdr:colOff>
                <xdr:row>41</xdr:row>
                <xdr:rowOff>9525</xdr:rowOff>
              </to>
            </anchor>
          </objectPr>
        </oleObject>
      </mc:Choice>
      <mc:Fallback>
        <oleObject progId="CorelDRAW.Graphic.11" shapeId="16386" r:id="rId6"/>
      </mc:Fallback>
    </mc:AlternateContent>
  </oleObjects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"/>
  <dimension ref="A1:K54"/>
  <sheetViews>
    <sheetView showGridLines="0" zoomScaleNormal="100" workbookViewId="0">
      <selection activeCell="I26" sqref="I26"/>
    </sheetView>
  </sheetViews>
  <sheetFormatPr defaultRowHeight="12.75" x14ac:dyDescent="0.2"/>
  <cols>
    <col min="1" max="1" width="8.42578125" customWidth="1"/>
    <col min="2" max="3" width="8.28515625" customWidth="1"/>
    <col min="5" max="5" width="7" customWidth="1"/>
    <col min="6" max="6" width="8.28515625" customWidth="1"/>
    <col min="9" max="9" width="4.42578125" customWidth="1"/>
    <col min="10" max="10" width="9.140625" customWidth="1"/>
  </cols>
  <sheetData>
    <row r="1" spans="1:11" s="214" customFormat="1" ht="15" x14ac:dyDescent="0.25">
      <c r="A1" s="588" t="s">
        <v>555</v>
      </c>
      <c r="B1" s="588"/>
      <c r="C1" s="588"/>
      <c r="D1" s="588"/>
      <c r="E1" s="588"/>
      <c r="F1" s="588"/>
      <c r="G1" s="588"/>
      <c r="H1" s="588"/>
      <c r="I1" s="588"/>
      <c r="J1" s="588"/>
      <c r="K1" s="588"/>
    </row>
    <row r="2" spans="1:11" s="214" customFormat="1" ht="8.25" customHeight="1" x14ac:dyDescent="0.25">
      <c r="A2" s="215"/>
    </row>
    <row r="3" spans="1:11" s="214" customFormat="1" ht="18.75" x14ac:dyDescent="0.3">
      <c r="A3" s="589" t="s">
        <v>448</v>
      </c>
      <c r="B3" s="589"/>
      <c r="C3" s="589"/>
      <c r="D3" s="589"/>
      <c r="E3" s="589"/>
      <c r="F3" s="589"/>
      <c r="G3" s="589"/>
      <c r="H3" s="589"/>
      <c r="I3" s="589"/>
      <c r="J3" s="589"/>
      <c r="K3" s="589"/>
    </row>
    <row r="4" spans="1:11" s="214" customFormat="1" ht="8.25" customHeight="1" x14ac:dyDescent="0.25">
      <c r="A4" s="215"/>
    </row>
    <row r="5" spans="1:11" s="214" customFormat="1" ht="15.75" x14ac:dyDescent="0.25">
      <c r="A5" s="214" t="s">
        <v>449</v>
      </c>
      <c r="C5" s="590"/>
      <c r="D5" s="590"/>
      <c r="E5" s="590"/>
      <c r="F5" s="590"/>
      <c r="G5" s="590"/>
      <c r="H5" s="590"/>
      <c r="I5" s="590"/>
      <c r="J5" s="590"/>
      <c r="K5" s="590"/>
    </row>
    <row r="6" spans="1:11" s="214" customFormat="1" ht="7.5" customHeight="1" x14ac:dyDescent="0.25">
      <c r="A6" s="215"/>
    </row>
    <row r="7" spans="1:11" s="214" customFormat="1" ht="15.75" x14ac:dyDescent="0.25">
      <c r="A7" s="214" t="s">
        <v>450</v>
      </c>
      <c r="F7" s="590"/>
      <c r="G7" s="590"/>
      <c r="H7" s="590"/>
      <c r="I7" s="590"/>
      <c r="J7" s="590"/>
      <c r="K7" s="590"/>
    </row>
    <row r="8" spans="1:11" s="214" customFormat="1" ht="15.75" x14ac:dyDescent="0.25">
      <c r="A8" s="214" t="s">
        <v>451</v>
      </c>
      <c r="F8" s="590"/>
      <c r="G8" s="590"/>
      <c r="H8" s="590"/>
      <c r="I8" s="590"/>
      <c r="J8" s="590"/>
      <c r="K8" s="590"/>
    </row>
    <row r="9" spans="1:11" s="214" customFormat="1" ht="7.5" customHeight="1" x14ac:dyDescent="0.25">
      <c r="A9" s="215"/>
    </row>
    <row r="10" spans="1:11" s="214" customFormat="1" ht="15" x14ac:dyDescent="0.25">
      <c r="A10" s="216" t="s">
        <v>452</v>
      </c>
    </row>
    <row r="11" spans="1:11" s="214" customFormat="1" ht="15" x14ac:dyDescent="0.25">
      <c r="A11" s="214" t="s">
        <v>453</v>
      </c>
    </row>
    <row r="12" spans="1:11" s="214" customFormat="1" ht="15" x14ac:dyDescent="0.25">
      <c r="A12" s="214" t="s">
        <v>454</v>
      </c>
      <c r="B12" s="587"/>
      <c r="C12" s="587"/>
      <c r="D12" s="587"/>
      <c r="E12" s="587"/>
      <c r="F12" s="587"/>
      <c r="H12" s="214" t="s">
        <v>455</v>
      </c>
      <c r="I12" s="217"/>
      <c r="J12" s="587"/>
      <c r="K12" s="587"/>
    </row>
    <row r="13" spans="1:11" s="214" customFormat="1" ht="15" x14ac:dyDescent="0.25">
      <c r="A13" s="591" t="s">
        <v>456</v>
      </c>
      <c r="B13" s="591"/>
      <c r="C13" s="587"/>
      <c r="D13" s="587"/>
      <c r="E13" s="587"/>
      <c r="F13" s="587"/>
      <c r="G13" s="587"/>
      <c r="H13" s="587"/>
      <c r="I13" s="587"/>
      <c r="J13" s="587"/>
      <c r="K13" s="587"/>
    </row>
    <row r="14" spans="1:11" s="214" customFormat="1" ht="15" x14ac:dyDescent="0.25">
      <c r="A14" s="587"/>
      <c r="B14" s="587"/>
      <c r="C14" s="587"/>
      <c r="D14" s="587"/>
      <c r="E14" s="587"/>
      <c r="F14" s="587"/>
      <c r="G14" s="587"/>
      <c r="H14" s="587"/>
      <c r="I14" s="587"/>
      <c r="J14" s="587"/>
      <c r="K14" s="587"/>
    </row>
    <row r="15" spans="1:11" s="214" customFormat="1" ht="15" x14ac:dyDescent="0.25">
      <c r="A15" s="214" t="s">
        <v>457</v>
      </c>
      <c r="B15" s="587"/>
      <c r="C15" s="587"/>
      <c r="D15" s="587"/>
      <c r="E15" s="587"/>
      <c r="F15" s="214" t="s">
        <v>458</v>
      </c>
      <c r="G15" s="593"/>
      <c r="H15" s="593"/>
      <c r="I15" s="593"/>
      <c r="J15" s="593"/>
      <c r="K15" s="593"/>
    </row>
    <row r="16" spans="1:11" s="214" customFormat="1" ht="15" x14ac:dyDescent="0.25">
      <c r="A16" s="591" t="s">
        <v>459</v>
      </c>
      <c r="B16" s="591"/>
      <c r="C16" s="587"/>
      <c r="D16" s="587"/>
      <c r="E16" s="591" t="s">
        <v>460</v>
      </c>
      <c r="F16" s="591"/>
      <c r="G16" s="592"/>
      <c r="H16" s="592"/>
      <c r="I16" s="214" t="s">
        <v>461</v>
      </c>
      <c r="J16" s="587"/>
      <c r="K16" s="587"/>
    </row>
    <row r="17" spans="1:11" s="214" customFormat="1" ht="15" x14ac:dyDescent="0.25">
      <c r="A17" s="214" t="s">
        <v>462</v>
      </c>
      <c r="B17" s="587"/>
      <c r="C17" s="587"/>
      <c r="D17" s="587"/>
    </row>
    <row r="18" spans="1:11" s="214" customFormat="1" ht="7.5" customHeight="1" x14ac:dyDescent="0.25"/>
    <row r="19" spans="1:11" s="214" customFormat="1" ht="15" x14ac:dyDescent="0.25">
      <c r="A19" s="214" t="s">
        <v>463</v>
      </c>
      <c r="B19" s="587"/>
      <c r="C19" s="587"/>
      <c r="D19" s="587"/>
      <c r="E19" s="587"/>
      <c r="F19" s="587"/>
      <c r="H19" s="214" t="s">
        <v>455</v>
      </c>
      <c r="I19" s="217"/>
      <c r="J19" s="587"/>
      <c r="K19" s="587"/>
    </row>
    <row r="20" spans="1:11" s="214" customFormat="1" ht="15" x14ac:dyDescent="0.25">
      <c r="A20" s="591" t="s">
        <v>456</v>
      </c>
      <c r="B20" s="591"/>
      <c r="C20" s="587"/>
      <c r="D20" s="587"/>
      <c r="E20" s="587"/>
      <c r="F20" s="587"/>
      <c r="G20" s="587"/>
      <c r="H20" s="587"/>
      <c r="I20" s="587"/>
      <c r="J20" s="587"/>
      <c r="K20" s="587"/>
    </row>
    <row r="21" spans="1:11" s="214" customFormat="1" ht="15" x14ac:dyDescent="0.25">
      <c r="A21" s="587"/>
      <c r="B21" s="587"/>
      <c r="C21" s="587"/>
      <c r="D21" s="587"/>
      <c r="E21" s="587"/>
      <c r="F21" s="587"/>
      <c r="G21" s="587"/>
      <c r="H21" s="587"/>
      <c r="I21" s="587"/>
      <c r="J21" s="587"/>
      <c r="K21" s="587"/>
    </row>
    <row r="22" spans="1:11" s="214" customFormat="1" ht="15" x14ac:dyDescent="0.25">
      <c r="A22" s="214" t="s">
        <v>457</v>
      </c>
      <c r="B22" s="587"/>
      <c r="C22" s="587"/>
      <c r="D22" s="587"/>
      <c r="E22" s="587"/>
      <c r="F22" s="214" t="s">
        <v>458</v>
      </c>
      <c r="G22" s="593"/>
      <c r="H22" s="593"/>
      <c r="I22" s="593"/>
      <c r="J22" s="593"/>
      <c r="K22" s="593"/>
    </row>
    <row r="23" spans="1:11" s="214" customFormat="1" ht="15" x14ac:dyDescent="0.25">
      <c r="A23" s="591" t="s">
        <v>459</v>
      </c>
      <c r="B23" s="591"/>
      <c r="C23" s="587"/>
      <c r="D23" s="587"/>
      <c r="E23" s="591" t="s">
        <v>460</v>
      </c>
      <c r="F23" s="591"/>
      <c r="G23" s="592"/>
      <c r="H23" s="592"/>
      <c r="I23" s="214" t="s">
        <v>461</v>
      </c>
      <c r="J23" s="587"/>
      <c r="K23" s="587"/>
    </row>
    <row r="24" spans="1:11" s="214" customFormat="1" ht="15" x14ac:dyDescent="0.25">
      <c r="A24" s="214" t="s">
        <v>462</v>
      </c>
      <c r="B24" s="587"/>
      <c r="C24" s="587"/>
      <c r="D24" s="587"/>
    </row>
    <row r="25" spans="1:11" s="214" customFormat="1" ht="7.5" customHeight="1" x14ac:dyDescent="0.25"/>
    <row r="26" spans="1:11" s="214" customFormat="1" ht="15" x14ac:dyDescent="0.25">
      <c r="A26" s="214" t="s">
        <v>464</v>
      </c>
    </row>
    <row r="27" spans="1:11" s="214" customFormat="1" ht="15" x14ac:dyDescent="0.25">
      <c r="A27" s="214" t="s">
        <v>465</v>
      </c>
      <c r="B27" s="587"/>
      <c r="C27" s="587"/>
      <c r="D27" s="587"/>
      <c r="E27" s="587"/>
      <c r="F27" s="587"/>
      <c r="H27" s="214" t="s">
        <v>455</v>
      </c>
      <c r="I27" s="217"/>
      <c r="J27" s="587"/>
      <c r="K27" s="587"/>
    </row>
    <row r="28" spans="1:11" s="214" customFormat="1" ht="15" x14ac:dyDescent="0.25">
      <c r="A28" s="591" t="s">
        <v>456</v>
      </c>
      <c r="B28" s="591"/>
      <c r="C28" s="587"/>
      <c r="D28" s="587"/>
      <c r="E28" s="587"/>
      <c r="F28" s="587"/>
      <c r="G28" s="587"/>
      <c r="H28" s="587"/>
      <c r="I28" s="587"/>
      <c r="J28" s="587"/>
      <c r="K28" s="587"/>
    </row>
    <row r="29" spans="1:11" s="214" customFormat="1" ht="15" x14ac:dyDescent="0.25">
      <c r="A29" s="587"/>
      <c r="B29" s="587"/>
      <c r="C29" s="587"/>
      <c r="D29" s="587"/>
      <c r="E29" s="587"/>
      <c r="F29" s="587"/>
      <c r="G29" s="587"/>
      <c r="H29" s="587"/>
      <c r="I29" s="587"/>
      <c r="J29" s="587"/>
      <c r="K29" s="587"/>
    </row>
    <row r="30" spans="1:11" s="214" customFormat="1" ht="15" x14ac:dyDescent="0.25">
      <c r="A30" s="214" t="s">
        <v>457</v>
      </c>
      <c r="B30" s="587"/>
      <c r="C30" s="587"/>
      <c r="D30" s="587"/>
      <c r="E30" s="587"/>
      <c r="F30" s="214" t="s">
        <v>458</v>
      </c>
      <c r="G30" s="587"/>
      <c r="H30" s="587"/>
      <c r="I30" s="587"/>
      <c r="J30" s="587"/>
      <c r="K30" s="587"/>
    </row>
    <row r="31" spans="1:11" s="214" customFormat="1" ht="15" x14ac:dyDescent="0.25">
      <c r="A31" s="591" t="s">
        <v>459</v>
      </c>
      <c r="B31" s="591"/>
      <c r="C31" s="587"/>
      <c r="D31" s="587"/>
      <c r="E31" s="591" t="s">
        <v>460</v>
      </c>
      <c r="F31" s="591"/>
      <c r="G31" s="592"/>
      <c r="H31" s="592"/>
      <c r="I31" s="214" t="s">
        <v>461</v>
      </c>
      <c r="J31" s="587"/>
      <c r="K31" s="587"/>
    </row>
    <row r="32" spans="1:11" s="214" customFormat="1" ht="15" x14ac:dyDescent="0.25">
      <c r="A32" s="214" t="s">
        <v>462</v>
      </c>
      <c r="B32" s="587"/>
      <c r="C32" s="587"/>
      <c r="D32" s="587"/>
      <c r="E32" s="591" t="s">
        <v>466</v>
      </c>
      <c r="F32" s="591"/>
      <c r="G32" s="591"/>
      <c r="H32" s="591"/>
      <c r="I32" s="591"/>
      <c r="J32" s="591"/>
      <c r="K32" s="591"/>
    </row>
    <row r="33" spans="1:11" s="214" customFormat="1" ht="7.5" customHeight="1" x14ac:dyDescent="0.25"/>
    <row r="34" spans="1:11" s="214" customFormat="1" ht="15" x14ac:dyDescent="0.25">
      <c r="E34" s="597" t="s">
        <v>467</v>
      </c>
      <c r="F34" s="597"/>
      <c r="G34" s="597"/>
      <c r="H34" s="594" t="s">
        <v>468</v>
      </c>
      <c r="I34" s="594"/>
      <c r="J34" s="594"/>
      <c r="K34" s="594"/>
    </row>
    <row r="35" spans="1:11" s="214" customFormat="1" ht="15" x14ac:dyDescent="0.25">
      <c r="H35" s="594" t="s">
        <v>469</v>
      </c>
      <c r="I35" s="594"/>
      <c r="J35" s="594"/>
      <c r="K35" s="594"/>
    </row>
    <row r="36" spans="1:11" s="216" customFormat="1" ht="15.75" x14ac:dyDescent="0.25">
      <c r="A36" s="595" t="s">
        <v>470</v>
      </c>
      <c r="B36" s="595"/>
      <c r="C36" s="595"/>
      <c r="D36" s="595"/>
      <c r="E36" s="596" t="str">
        <f>РПВ!AO2</f>
        <v>2014</v>
      </c>
      <c r="F36" s="596"/>
      <c r="G36" s="216" t="s">
        <v>199</v>
      </c>
    </row>
    <row r="37" spans="1:11" s="214" customFormat="1" ht="15" x14ac:dyDescent="0.25">
      <c r="A37" s="331"/>
      <c r="B37" s="331"/>
      <c r="C37" s="331"/>
      <c r="D37" s="331"/>
      <c r="E37" s="362"/>
      <c r="F37" s="362"/>
    </row>
    <row r="38" spans="1:11" s="214" customFormat="1" ht="27.75" customHeight="1" x14ac:dyDescent="0.25">
      <c r="A38" s="598" t="s">
        <v>556</v>
      </c>
      <c r="B38" s="598"/>
      <c r="C38" s="598"/>
      <c r="D38" s="598"/>
      <c r="E38" s="598"/>
      <c r="F38" s="598"/>
      <c r="G38" s="598"/>
      <c r="H38" s="598"/>
      <c r="I38" s="598"/>
      <c r="J38" s="598"/>
      <c r="K38" s="363"/>
    </row>
    <row r="39" spans="1:11" s="214" customFormat="1" ht="15" customHeight="1" x14ac:dyDescent="0.25">
      <c r="A39" s="214" t="s">
        <v>557</v>
      </c>
      <c r="F39" s="214" t="s">
        <v>558</v>
      </c>
    </row>
    <row r="40" spans="1:11" s="214" customFormat="1" ht="15" customHeight="1" x14ac:dyDescent="0.25"/>
    <row r="41" spans="1:11" s="216" customFormat="1" ht="15" x14ac:dyDescent="0.25">
      <c r="A41" s="364" t="s">
        <v>559</v>
      </c>
    </row>
    <row r="42" spans="1:11" s="216" customFormat="1" ht="21.75" customHeight="1" x14ac:dyDescent="0.25">
      <c r="A42" s="364" t="s">
        <v>560</v>
      </c>
      <c r="F42" s="364" t="s">
        <v>561</v>
      </c>
    </row>
    <row r="43" spans="1:11" s="365" customFormat="1" ht="16.5" x14ac:dyDescent="0.3">
      <c r="A43" s="365" t="s">
        <v>471</v>
      </c>
      <c r="B43" s="402"/>
      <c r="C43" s="365" t="s">
        <v>472</v>
      </c>
      <c r="D43" s="402"/>
      <c r="F43" s="365" t="s">
        <v>471</v>
      </c>
      <c r="G43" s="402"/>
      <c r="H43" s="367" t="s">
        <v>472</v>
      </c>
      <c r="I43" s="599"/>
      <c r="J43" s="599"/>
    </row>
    <row r="44" spans="1:11" s="365" customFormat="1" ht="15" x14ac:dyDescent="0.25">
      <c r="A44" s="366" t="s">
        <v>473</v>
      </c>
      <c r="D44" s="330"/>
      <c r="F44" s="366" t="s">
        <v>473</v>
      </c>
      <c r="I44" s="601"/>
      <c r="J44" s="601"/>
    </row>
    <row r="45" spans="1:11" s="365" customFormat="1" ht="15" x14ac:dyDescent="0.25">
      <c r="A45" s="366" t="s">
        <v>474</v>
      </c>
      <c r="D45" s="330"/>
      <c r="F45" s="366" t="s">
        <v>474</v>
      </c>
      <c r="I45" s="601"/>
      <c r="J45" s="601"/>
    </row>
    <row r="46" spans="1:11" s="365" customFormat="1" ht="15" x14ac:dyDescent="0.25">
      <c r="A46" s="366" t="s">
        <v>475</v>
      </c>
      <c r="D46" s="372"/>
      <c r="F46" s="366" t="s">
        <v>479</v>
      </c>
      <c r="I46" s="214"/>
      <c r="J46" s="370"/>
      <c r="K46" s="368"/>
    </row>
    <row r="47" spans="1:11" s="365" customFormat="1" ht="15" x14ac:dyDescent="0.25">
      <c r="D47" s="371"/>
      <c r="F47" s="366" t="s">
        <v>480</v>
      </c>
      <c r="I47" s="601"/>
      <c r="J47" s="601"/>
    </row>
    <row r="48" spans="1:11" s="365" customFormat="1" ht="15" x14ac:dyDescent="0.25">
      <c r="F48" s="366" t="s">
        <v>475</v>
      </c>
      <c r="I48" s="601"/>
      <c r="J48" s="601"/>
    </row>
    <row r="49" spans="1:9" s="214" customFormat="1" ht="15" x14ac:dyDescent="0.25"/>
    <row r="50" spans="1:9" s="214" customFormat="1" ht="7.5" customHeight="1" x14ac:dyDescent="0.25">
      <c r="A50" s="214" t="s">
        <v>476</v>
      </c>
    </row>
    <row r="51" spans="1:9" s="214" customFormat="1" ht="15" x14ac:dyDescent="0.25">
      <c r="A51" s="214" t="s">
        <v>221</v>
      </c>
      <c r="B51" s="600"/>
      <c r="C51" s="600"/>
      <c r="G51" s="214" t="s">
        <v>477</v>
      </c>
      <c r="H51" s="218"/>
      <c r="I51" s="218"/>
    </row>
    <row r="52" spans="1:9" s="214" customFormat="1" ht="15" x14ac:dyDescent="0.25">
      <c r="H52" s="214" t="s">
        <v>478</v>
      </c>
    </row>
    <row r="54" spans="1:9" s="369" customFormat="1" ht="15" x14ac:dyDescent="0.25">
      <c r="A54" s="369" t="s">
        <v>562</v>
      </c>
    </row>
  </sheetData>
  <mergeCells count="57">
    <mergeCell ref="A38:J38"/>
    <mergeCell ref="I43:J43"/>
    <mergeCell ref="B51:C51"/>
    <mergeCell ref="I44:J44"/>
    <mergeCell ref="I45:J45"/>
    <mergeCell ref="I47:J47"/>
    <mergeCell ref="I48:J48"/>
    <mergeCell ref="A29:K29"/>
    <mergeCell ref="B32:D32"/>
    <mergeCell ref="E32:K32"/>
    <mergeCell ref="E34:G34"/>
    <mergeCell ref="H34:K34"/>
    <mergeCell ref="H35:K35"/>
    <mergeCell ref="A36:D36"/>
    <mergeCell ref="E36:F36"/>
    <mergeCell ref="B30:E30"/>
    <mergeCell ref="G30:K30"/>
    <mergeCell ref="A31:B31"/>
    <mergeCell ref="C31:D31"/>
    <mergeCell ref="E31:F31"/>
    <mergeCell ref="G31:H31"/>
    <mergeCell ref="J31:K31"/>
    <mergeCell ref="B24:D24"/>
    <mergeCell ref="B27:F27"/>
    <mergeCell ref="J27:K27"/>
    <mergeCell ref="A28:B28"/>
    <mergeCell ref="C28:K28"/>
    <mergeCell ref="B17:D17"/>
    <mergeCell ref="B19:F19"/>
    <mergeCell ref="J19:K19"/>
    <mergeCell ref="A20:B20"/>
    <mergeCell ref="C20:K20"/>
    <mergeCell ref="B22:E22"/>
    <mergeCell ref="G22:K22"/>
    <mergeCell ref="A23:B23"/>
    <mergeCell ref="C23:D23"/>
    <mergeCell ref="A21:K21"/>
    <mergeCell ref="E23:F23"/>
    <mergeCell ref="G23:H23"/>
    <mergeCell ref="J23:K23"/>
    <mergeCell ref="A13:B13"/>
    <mergeCell ref="C13:K13"/>
    <mergeCell ref="A14:K14"/>
    <mergeCell ref="B15:E15"/>
    <mergeCell ref="G15:K15"/>
    <mergeCell ref="A16:B16"/>
    <mergeCell ref="C16:D16"/>
    <mergeCell ref="E16:F16"/>
    <mergeCell ref="G16:H16"/>
    <mergeCell ref="J16:K16"/>
    <mergeCell ref="B12:F12"/>
    <mergeCell ref="J12:K12"/>
    <mergeCell ref="A1:K1"/>
    <mergeCell ref="A3:K3"/>
    <mergeCell ref="C5:K5"/>
    <mergeCell ref="F7:K7"/>
    <mergeCell ref="F8:K8"/>
  </mergeCells>
  <phoneticPr fontId="0" type="noConversion"/>
  <pageMargins left="0.47244094488188981" right="0.47244094488188981" top="0.51181102362204722" bottom="0.59055118110236227" header="0.31496062992125984" footer="0.31496062992125984"/>
  <pageSetup paperSize="9" orientation="portrait" verticalDpi="0" r:id="rId1"/>
  <headerFooter>
    <oddFooter>&amp;R&amp;8&amp;B&amp;I Генерирано чрез TROX РПВ вер.2014,08&amp;L&amp;8&amp;B www.trox-bg.com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9457" r:id="rId4" name="Button 1">
              <controlPr defaultSize="0" print="0" autoFill="0" autoPict="0" macro="[0]!DanniProtokol">
                <anchor moveWithCells="1" sizeWithCells="1">
                  <from>
                    <xdr:col>11</xdr:col>
                    <xdr:colOff>95250</xdr:colOff>
                    <xdr:row>0</xdr:row>
                    <xdr:rowOff>57150</xdr:rowOff>
                  </from>
                  <to>
                    <xdr:col>14</xdr:col>
                    <xdr:colOff>0</xdr:colOff>
                    <xdr:row>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8" r:id="rId5" name="Button 2">
              <controlPr defaultSize="0" print="0" autoFill="0" autoPict="0" macro="[0]!DanniProtokolClear2">
                <anchor moveWithCells="1" sizeWithCells="1">
                  <from>
                    <xdr:col>11</xdr:col>
                    <xdr:colOff>114300</xdr:colOff>
                    <xdr:row>3</xdr:row>
                    <xdr:rowOff>57150</xdr:rowOff>
                  </from>
                  <to>
                    <xdr:col>14</xdr:col>
                    <xdr:colOff>0</xdr:colOff>
                    <xdr:row>6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9" r:id="rId6" name="Button 3">
              <controlPr defaultSize="0" print="0" autoFill="0" autoPict="0" macro="[0]!DanniProtokolClear1">
                <anchor moveWithCells="1" sizeWithCells="1">
                  <from>
                    <xdr:col>11</xdr:col>
                    <xdr:colOff>123825</xdr:colOff>
                    <xdr:row>7</xdr:row>
                    <xdr:rowOff>0</xdr:rowOff>
                  </from>
                  <to>
                    <xdr:col>14</xdr:col>
                    <xdr:colOff>0</xdr:colOff>
                    <xdr:row>9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0" r:id="rId7" name="Button 4">
              <controlPr defaultSize="0" print="0" autoFill="0" autoPict="0" macro="[0]!Pe4atnaProtokol">
                <anchor moveWithCells="1" sizeWithCells="1">
                  <from>
                    <xdr:col>11</xdr:col>
                    <xdr:colOff>114300</xdr:colOff>
                    <xdr:row>10</xdr:row>
                    <xdr:rowOff>28575</xdr:rowOff>
                  </from>
                  <to>
                    <xdr:col>14</xdr:col>
                    <xdr:colOff>0</xdr:colOff>
                    <xdr:row>12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1" r:id="rId8" name="Check Box 5">
              <controlPr defaultSize="0" autoFill="0" autoLine="0" autoPict="0">
                <anchor moveWithCells="1">
                  <from>
                    <xdr:col>2</xdr:col>
                    <xdr:colOff>276225</xdr:colOff>
                    <xdr:row>37</xdr:row>
                    <xdr:rowOff>323850</xdr:rowOff>
                  </from>
                  <to>
                    <xdr:col>3</xdr:col>
                    <xdr:colOff>571500</xdr:colOff>
                    <xdr:row>39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3" r:id="rId9" name="Check Box 7">
              <controlPr defaultSize="0" autoFill="0" autoLine="0" autoPict="0">
                <anchor moveWithCells="1">
                  <from>
                    <xdr:col>7</xdr:col>
                    <xdr:colOff>238125</xdr:colOff>
                    <xdr:row>37</xdr:row>
                    <xdr:rowOff>323850</xdr:rowOff>
                  </from>
                  <to>
                    <xdr:col>9</xdr:col>
                    <xdr:colOff>190500</xdr:colOff>
                    <xdr:row>39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F17"/>
  <sheetViews>
    <sheetView workbookViewId="0">
      <selection sqref="A1:E1"/>
    </sheetView>
  </sheetViews>
  <sheetFormatPr defaultRowHeight="12.75" x14ac:dyDescent="0.2"/>
  <cols>
    <col min="1" max="1" width="21.42578125" style="1" customWidth="1"/>
    <col min="2" max="2" width="14.85546875" style="1" customWidth="1"/>
    <col min="3" max="3" width="20.42578125" style="1" customWidth="1"/>
    <col min="4" max="4" width="16.7109375" style="1" bestFit="1" customWidth="1"/>
    <col min="5" max="5" width="15.42578125" style="1" customWidth="1"/>
    <col min="6" max="6" width="14.5703125" style="1" customWidth="1"/>
    <col min="7" max="16384" width="9.140625" style="1"/>
  </cols>
  <sheetData>
    <row r="1" spans="1:6" ht="18.75" x14ac:dyDescent="0.3">
      <c r="A1" s="603" t="s">
        <v>53</v>
      </c>
      <c r="B1" s="603"/>
      <c r="C1" s="603"/>
      <c r="D1" s="603"/>
      <c r="E1" s="603"/>
    </row>
    <row r="2" spans="1:6" ht="38.25" x14ac:dyDescent="0.2">
      <c r="A2" s="25" t="s">
        <v>435</v>
      </c>
      <c r="B2" s="25" t="s">
        <v>434</v>
      </c>
      <c r="C2" s="27" t="s">
        <v>6</v>
      </c>
      <c r="D2" s="26" t="s">
        <v>7</v>
      </c>
      <c r="E2" s="26" t="s">
        <v>103</v>
      </c>
      <c r="F2" s="26" t="s">
        <v>104</v>
      </c>
    </row>
    <row r="3" spans="1:6" x14ac:dyDescent="0.2">
      <c r="A3" s="6"/>
      <c r="B3" s="206"/>
      <c r="C3" s="3">
        <v>1</v>
      </c>
      <c r="D3" s="28">
        <f>(B3+A3)/C3</f>
        <v>0</v>
      </c>
      <c r="E3" s="5">
        <f>C3/D6</f>
        <v>4.5454545454545456E-2</v>
      </c>
      <c r="F3" s="28">
        <f>ROUND(D3*E3,2)</f>
        <v>0</v>
      </c>
    </row>
    <row r="4" spans="1:6" x14ac:dyDescent="0.2">
      <c r="A4" s="29"/>
      <c r="B4" s="30"/>
      <c r="C4" s="31"/>
      <c r="D4" s="32"/>
      <c r="E4" s="33"/>
    </row>
    <row r="5" spans="1:6" ht="38.25" x14ac:dyDescent="0.2">
      <c r="A5" s="25" t="s">
        <v>436</v>
      </c>
      <c r="B5" s="34" t="s">
        <v>11</v>
      </c>
      <c r="C5" s="25" t="s">
        <v>8</v>
      </c>
      <c r="D5" s="25" t="s">
        <v>9</v>
      </c>
      <c r="E5" s="25" t="s">
        <v>7</v>
      </c>
    </row>
    <row r="6" spans="1:6" x14ac:dyDescent="0.2">
      <c r="A6" s="6"/>
      <c r="B6" s="35">
        <f>E6*B9</f>
        <v>0</v>
      </c>
      <c r="C6" s="35">
        <f>C9*F3</f>
        <v>0</v>
      </c>
      <c r="D6" s="5">
        <f>РПВ!AG2</f>
        <v>22</v>
      </c>
      <c r="E6" s="28">
        <f>A6/D6</f>
        <v>0</v>
      </c>
    </row>
    <row r="7" spans="1:6" x14ac:dyDescent="0.2">
      <c r="B7" s="29"/>
    </row>
    <row r="8" spans="1:6" ht="38.25" x14ac:dyDescent="0.2">
      <c r="B8" s="25" t="s">
        <v>10</v>
      </c>
      <c r="C8" s="25" t="s">
        <v>24</v>
      </c>
    </row>
    <row r="9" spans="1:6" x14ac:dyDescent="0.2">
      <c r="B9" s="3"/>
      <c r="C9" s="3"/>
    </row>
    <row r="11" spans="1:6" x14ac:dyDescent="0.2">
      <c r="D11" s="12"/>
      <c r="E11" s="36"/>
    </row>
    <row r="12" spans="1:6" ht="18.75" x14ac:dyDescent="0.3">
      <c r="A12" s="604" t="s">
        <v>54</v>
      </c>
      <c r="B12" s="604"/>
      <c r="C12" s="604"/>
      <c r="D12" s="604"/>
      <c r="E12" s="604"/>
    </row>
    <row r="13" spans="1:6" x14ac:dyDescent="0.2">
      <c r="A13" s="602" t="s">
        <v>15</v>
      </c>
      <c r="B13" s="602"/>
      <c r="C13" s="5">
        <f>РПВ!AG2</f>
        <v>22</v>
      </c>
    </row>
    <row r="14" spans="1:6" x14ac:dyDescent="0.2">
      <c r="A14" s="602" t="s">
        <v>16</v>
      </c>
      <c r="B14" s="602"/>
      <c r="C14" s="3"/>
    </row>
    <row r="15" spans="1:6" x14ac:dyDescent="0.2">
      <c r="A15" s="602" t="s">
        <v>13</v>
      </c>
      <c r="B15" s="602"/>
      <c r="C15" s="5">
        <f>IF(C14&gt;C13,"ГРЕШКА!!!",C13-C14)</f>
        <v>22</v>
      </c>
    </row>
    <row r="16" spans="1:6" x14ac:dyDescent="0.2">
      <c r="A16" s="602" t="s">
        <v>14</v>
      </c>
      <c r="B16" s="602"/>
      <c r="C16" s="2"/>
    </row>
    <row r="17" spans="1:3" x14ac:dyDescent="0.2">
      <c r="A17" s="602" t="s">
        <v>17</v>
      </c>
      <c r="B17" s="602"/>
      <c r="C17" s="4">
        <f>IF(C15="ГРЕШКА!!!",0,C16/C13*C15)</f>
        <v>0</v>
      </c>
    </row>
  </sheetData>
  <mergeCells count="7">
    <mergeCell ref="A15:B15"/>
    <mergeCell ref="A16:B16"/>
    <mergeCell ref="A17:B17"/>
    <mergeCell ref="A1:E1"/>
    <mergeCell ref="A12:E12"/>
    <mergeCell ref="A13:B13"/>
    <mergeCell ref="A14:B14"/>
  </mergeCells>
  <phoneticPr fontId="0" type="noConversion"/>
  <pageMargins left="0.75" right="0.75" top="1" bottom="1" header="0.5" footer="0.5"/>
  <pageSetup orientation="portrait" horizontalDpi="240" verticalDpi="144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Q113"/>
  <sheetViews>
    <sheetView zoomScale="90" zoomScaleNormal="90" workbookViewId="0">
      <selection activeCell="N11" sqref="N11"/>
    </sheetView>
  </sheetViews>
  <sheetFormatPr defaultRowHeight="12.75" x14ac:dyDescent="0.2"/>
  <cols>
    <col min="1" max="1" width="2.85546875" style="87" customWidth="1"/>
    <col min="2" max="2" width="43.85546875" style="87" customWidth="1"/>
    <col min="3" max="3" width="9.5703125" style="87" customWidth="1"/>
    <col min="4" max="12" width="9.140625" style="87"/>
    <col min="13" max="13" width="9.28515625" style="87" bestFit="1" customWidth="1"/>
    <col min="14" max="14" width="7.7109375" style="87" customWidth="1"/>
    <col min="15" max="15" width="9.42578125" style="87" bestFit="1" customWidth="1"/>
    <col min="16" max="17" width="9.140625" style="87"/>
    <col min="18" max="18" width="8.85546875" style="87" customWidth="1"/>
    <col min="19" max="19" width="81.140625" style="87" bestFit="1" customWidth="1"/>
    <col min="20" max="16384" width="9.140625" style="87"/>
  </cols>
  <sheetData>
    <row r="1" spans="2:17" ht="12.75" customHeight="1" x14ac:dyDescent="0.2">
      <c r="B1" s="608" t="s">
        <v>43</v>
      </c>
      <c r="C1" s="608"/>
      <c r="D1" s="606" t="s">
        <v>311</v>
      </c>
      <c r="E1" s="606"/>
      <c r="F1" s="606">
        <v>2</v>
      </c>
      <c r="G1" s="606"/>
      <c r="H1" s="606">
        <v>3</v>
      </c>
      <c r="I1" s="606"/>
      <c r="J1" s="606">
        <v>4</v>
      </c>
      <c r="K1" s="606"/>
      <c r="L1" s="606">
        <v>5</v>
      </c>
      <c r="M1" s="606"/>
      <c r="N1" s="440">
        <v>9</v>
      </c>
      <c r="O1" s="440"/>
    </row>
    <row r="2" spans="2:17" ht="12.75" customHeight="1" x14ac:dyDescent="0.2"/>
    <row r="3" spans="2:17" ht="12.75" customHeight="1" x14ac:dyDescent="0.2">
      <c r="B3" s="607" t="s">
        <v>133</v>
      </c>
      <c r="C3" s="607"/>
      <c r="D3" s="428" t="s">
        <v>56</v>
      </c>
      <c r="E3" s="428" t="s">
        <v>57</v>
      </c>
      <c r="F3" s="428" t="s">
        <v>56</v>
      </c>
      <c r="G3" s="428" t="s">
        <v>57</v>
      </c>
      <c r="H3" s="428" t="s">
        <v>56</v>
      </c>
      <c r="I3" s="428" t="s">
        <v>57</v>
      </c>
      <c r="J3" s="428" t="s">
        <v>56</v>
      </c>
      <c r="K3" s="428" t="s">
        <v>57</v>
      </c>
      <c r="L3" s="428" t="s">
        <v>56</v>
      </c>
      <c r="M3" s="428" t="s">
        <v>57</v>
      </c>
      <c r="N3" s="428" t="s">
        <v>56</v>
      </c>
      <c r="O3" s="428" t="s">
        <v>57</v>
      </c>
    </row>
    <row r="4" spans="2:17" ht="12.75" customHeight="1" x14ac:dyDescent="0.2">
      <c r="B4" s="607"/>
      <c r="C4" s="607"/>
      <c r="D4" s="428"/>
      <c r="E4" s="428"/>
      <c r="F4" s="428"/>
      <c r="G4" s="428"/>
      <c r="H4" s="428"/>
      <c r="I4" s="428"/>
      <c r="J4" s="428"/>
      <c r="K4" s="428"/>
      <c r="L4" s="428"/>
      <c r="M4" s="428"/>
      <c r="N4" s="428"/>
      <c r="O4" s="428"/>
    </row>
    <row r="5" spans="2:17" ht="12.75" customHeight="1" x14ac:dyDescent="0.2">
      <c r="B5" s="607"/>
      <c r="C5" s="607"/>
      <c r="D5" s="428"/>
      <c r="E5" s="428"/>
      <c r="F5" s="428"/>
      <c r="G5" s="428"/>
      <c r="H5" s="428"/>
      <c r="I5" s="428"/>
      <c r="J5" s="428"/>
      <c r="K5" s="428"/>
      <c r="L5" s="428"/>
      <c r="M5" s="428"/>
      <c r="N5" s="428"/>
      <c r="O5" s="428"/>
    </row>
    <row r="6" spans="2:17" ht="12.75" customHeight="1" x14ac:dyDescent="0.2">
      <c r="B6" s="608" t="s">
        <v>550</v>
      </c>
      <c r="C6" s="608"/>
      <c r="D6" s="332">
        <f>D7+D8+D10</f>
        <v>9.7000000000000003E-2</v>
      </c>
      <c r="E6" s="332">
        <f t="shared" ref="E6:O6" si="0">E7+E8+E10</f>
        <v>7.5000000000000011E-2</v>
      </c>
      <c r="F6" s="332">
        <f t="shared" si="0"/>
        <v>0.21299999999999999</v>
      </c>
      <c r="G6" s="332">
        <f t="shared" si="0"/>
        <v>0.16300000000000001</v>
      </c>
      <c r="H6" s="332">
        <f t="shared" si="0"/>
        <v>0.17799999999999999</v>
      </c>
      <c r="I6" s="332">
        <f t="shared" si="0"/>
        <v>0.128</v>
      </c>
      <c r="J6" s="332">
        <f t="shared" si="0"/>
        <v>0</v>
      </c>
      <c r="K6" s="332">
        <f t="shared" si="0"/>
        <v>0</v>
      </c>
      <c r="L6" s="332">
        <f t="shared" si="0"/>
        <v>7.9000000000000001E-2</v>
      </c>
      <c r="M6" s="332">
        <f t="shared" si="0"/>
        <v>5.7000000000000002E-2</v>
      </c>
      <c r="N6" s="332">
        <f t="shared" si="0"/>
        <v>7.9000000000000001E-2</v>
      </c>
      <c r="O6" s="332">
        <f t="shared" si="0"/>
        <v>5.7000000000000002E-2</v>
      </c>
      <c r="P6" s="87" t="s">
        <v>175</v>
      </c>
    </row>
    <row r="7" spans="2:17" ht="12.75" customHeight="1" x14ac:dyDescent="0.2">
      <c r="B7" s="605" t="s">
        <v>25</v>
      </c>
      <c r="C7" s="605"/>
      <c r="D7" s="333">
        <v>7.9000000000000001E-2</v>
      </c>
      <c r="E7" s="333">
        <v>5.7000000000000002E-2</v>
      </c>
      <c r="F7" s="333">
        <v>0.17799999999999999</v>
      </c>
      <c r="G7" s="333">
        <v>0.128</v>
      </c>
      <c r="H7" s="333">
        <v>0.17799999999999999</v>
      </c>
      <c r="I7" s="333">
        <v>0.128</v>
      </c>
      <c r="J7" s="333">
        <v>0</v>
      </c>
      <c r="K7" s="333">
        <v>0</v>
      </c>
      <c r="L7" s="333">
        <v>7.9000000000000001E-2</v>
      </c>
      <c r="M7" s="333">
        <v>5.7000000000000002E-2</v>
      </c>
      <c r="N7" s="333">
        <v>7.9000000000000001E-2</v>
      </c>
      <c r="O7" s="333">
        <v>5.7000000000000002E-2</v>
      </c>
      <c r="P7" s="176">
        <v>4.2999999999999997E-2</v>
      </c>
    </row>
    <row r="8" spans="2:17" ht="12.75" customHeight="1" x14ac:dyDescent="0.2">
      <c r="B8" s="605" t="s">
        <v>26</v>
      </c>
      <c r="C8" s="605"/>
      <c r="D8" s="333">
        <v>1.4E-2</v>
      </c>
      <c r="E8" s="333">
        <v>1.4E-2</v>
      </c>
      <c r="F8" s="333">
        <v>3.5000000000000003E-2</v>
      </c>
      <c r="G8" s="333">
        <v>3.5000000000000003E-2</v>
      </c>
      <c r="H8" s="333">
        <v>0</v>
      </c>
      <c r="I8" s="333">
        <v>0</v>
      </c>
      <c r="J8" s="333">
        <v>0</v>
      </c>
      <c r="K8" s="333">
        <v>0</v>
      </c>
      <c r="L8" s="333">
        <v>0</v>
      </c>
      <c r="M8" s="333">
        <v>0</v>
      </c>
      <c r="N8" s="333">
        <v>0</v>
      </c>
      <c r="O8" s="333">
        <v>0</v>
      </c>
    </row>
    <row r="9" spans="2:17" ht="12.75" customHeight="1" x14ac:dyDescent="0.2">
      <c r="B9" s="440" t="s">
        <v>23</v>
      </c>
      <c r="C9" s="440"/>
      <c r="D9" s="175">
        <v>0</v>
      </c>
      <c r="E9" s="175">
        <v>2.1999999999999999E-2</v>
      </c>
      <c r="F9" s="175">
        <v>0</v>
      </c>
      <c r="G9" s="175">
        <v>0.05</v>
      </c>
      <c r="H9" s="175">
        <v>0</v>
      </c>
      <c r="I9" s="175">
        <v>0.05</v>
      </c>
      <c r="J9" s="175">
        <v>0</v>
      </c>
      <c r="K9" s="175">
        <v>0</v>
      </c>
      <c r="L9" s="175">
        <v>0</v>
      </c>
      <c r="M9" s="175">
        <v>2.1999999999999999E-2</v>
      </c>
      <c r="N9" s="175">
        <v>0</v>
      </c>
      <c r="O9" s="175">
        <v>2.1999999999999999E-2</v>
      </c>
    </row>
    <row r="10" spans="2:17" ht="12.75" customHeight="1" x14ac:dyDescent="0.2">
      <c r="B10" s="605" t="s">
        <v>22</v>
      </c>
      <c r="C10" s="605"/>
      <c r="D10" s="333">
        <v>4.0000000000000001E-3</v>
      </c>
      <c r="E10" s="333">
        <v>4.0000000000000001E-3</v>
      </c>
      <c r="F10" s="333">
        <v>0</v>
      </c>
      <c r="G10" s="333">
        <v>0</v>
      </c>
      <c r="H10" s="333">
        <v>0</v>
      </c>
      <c r="I10" s="333">
        <v>0</v>
      </c>
      <c r="J10" s="333">
        <v>0</v>
      </c>
      <c r="K10" s="333">
        <v>0</v>
      </c>
      <c r="L10" s="333">
        <v>0</v>
      </c>
      <c r="M10" s="333">
        <v>0</v>
      </c>
      <c r="N10" s="333">
        <v>0</v>
      </c>
      <c r="O10" s="333">
        <v>0</v>
      </c>
    </row>
    <row r="11" spans="2:17" ht="12.75" customHeight="1" x14ac:dyDescent="0.2">
      <c r="B11" s="440" t="s">
        <v>21</v>
      </c>
      <c r="C11" s="440"/>
      <c r="D11" s="175">
        <v>3.2000000000000001E-2</v>
      </c>
      <c r="E11" s="175">
        <v>3.2000000000000001E-2</v>
      </c>
      <c r="F11" s="175">
        <v>0.08</v>
      </c>
      <c r="G11" s="175">
        <v>0.08</v>
      </c>
      <c r="H11" s="175">
        <v>0.08</v>
      </c>
      <c r="I11" s="175">
        <v>0.08</v>
      </c>
      <c r="J11" s="175">
        <v>0.08</v>
      </c>
      <c r="K11" s="175">
        <v>0.08</v>
      </c>
      <c r="L11" s="175">
        <v>3.2000000000000001E-2</v>
      </c>
      <c r="M11" s="175">
        <v>3.2000000000000001E-2</v>
      </c>
      <c r="N11" s="175">
        <v>0</v>
      </c>
      <c r="O11" s="175">
        <v>0</v>
      </c>
    </row>
    <row r="12" spans="2:17" ht="12.75" customHeight="1" x14ac:dyDescent="0.2">
      <c r="B12" s="440" t="s">
        <v>27</v>
      </c>
      <c r="C12" s="440"/>
      <c r="D12" s="177">
        <v>2400</v>
      </c>
      <c r="E12" s="147" t="s">
        <v>28</v>
      </c>
      <c r="F12" s="147" t="s">
        <v>28</v>
      </c>
      <c r="G12" s="147" t="s">
        <v>28</v>
      </c>
      <c r="H12" s="147" t="s">
        <v>28</v>
      </c>
      <c r="I12" s="147" t="s">
        <v>28</v>
      </c>
      <c r="J12" s="147" t="s">
        <v>28</v>
      </c>
      <c r="K12" s="147" t="s">
        <v>28</v>
      </c>
      <c r="L12" s="147" t="s">
        <v>28</v>
      </c>
      <c r="M12" s="147" t="s">
        <v>28</v>
      </c>
      <c r="N12" s="147" t="s">
        <v>28</v>
      </c>
      <c r="O12" s="147" t="s">
        <v>28</v>
      </c>
    </row>
    <row r="13" spans="2:17" ht="12.75" customHeight="1" x14ac:dyDescent="0.2">
      <c r="B13" s="440" t="s">
        <v>115</v>
      </c>
      <c r="C13" s="440"/>
      <c r="D13" s="177">
        <v>420</v>
      </c>
    </row>
    <row r="14" spans="2:17" ht="12.75" customHeight="1" x14ac:dyDescent="0.2">
      <c r="B14" s="440" t="s">
        <v>55</v>
      </c>
      <c r="C14" s="440"/>
      <c r="D14" s="177">
        <v>420</v>
      </c>
      <c r="F14" s="610" t="s">
        <v>114</v>
      </c>
      <c r="G14" s="610"/>
      <c r="H14" s="610"/>
      <c r="I14" s="610"/>
      <c r="J14" s="610"/>
      <c r="K14" s="610"/>
      <c r="L14" s="40"/>
    </row>
    <row r="15" spans="2:17" ht="12.75" customHeight="1" x14ac:dyDescent="0.2">
      <c r="B15" s="440" t="s">
        <v>110</v>
      </c>
      <c r="C15" s="440"/>
      <c r="D15" s="177">
        <v>340</v>
      </c>
      <c r="F15" s="610"/>
      <c r="G15" s="610"/>
      <c r="H15" s="610"/>
      <c r="I15" s="610"/>
      <c r="J15" s="610"/>
      <c r="K15" s="610"/>
      <c r="L15" s="40"/>
    </row>
    <row r="16" spans="2:17" x14ac:dyDescent="0.2">
      <c r="B16" s="440" t="s">
        <v>483</v>
      </c>
      <c r="C16" s="440"/>
      <c r="D16" s="177">
        <v>240</v>
      </c>
      <c r="Q16" s="87" t="str">
        <f>ver</f>
        <v>2014,08</v>
      </c>
    </row>
    <row r="18" spans="1:11" ht="12.75" customHeight="1" x14ac:dyDescent="0.2">
      <c r="F18" s="179"/>
    </row>
    <row r="19" spans="1:11" ht="12.75" customHeight="1" x14ac:dyDescent="0.2">
      <c r="F19" s="179"/>
    </row>
    <row r="20" spans="1:11" ht="12.75" customHeight="1" x14ac:dyDescent="0.2">
      <c r="F20" s="179"/>
    </row>
    <row r="21" spans="1:11" ht="12.75" customHeight="1" x14ac:dyDescent="0.2">
      <c r="F21" s="179"/>
    </row>
    <row r="22" spans="1:11" ht="12.75" customHeight="1" x14ac:dyDescent="0.2">
      <c r="F22" s="179"/>
    </row>
    <row r="23" spans="1:11" ht="12.75" customHeight="1" x14ac:dyDescent="0.2"/>
    <row r="24" spans="1:11" ht="12.75" customHeight="1" x14ac:dyDescent="0.2">
      <c r="A24" s="609" t="s">
        <v>106</v>
      </c>
      <c r="B24" s="609"/>
      <c r="C24" s="202" t="s">
        <v>107</v>
      </c>
      <c r="D24" s="165" t="s">
        <v>108</v>
      </c>
      <c r="E24" s="165" t="s">
        <v>2</v>
      </c>
      <c r="G24" s="87" t="s">
        <v>351</v>
      </c>
      <c r="J24" s="87" t="s">
        <v>503</v>
      </c>
    </row>
    <row r="25" spans="1:11" ht="12.75" customHeight="1" x14ac:dyDescent="0.2">
      <c r="A25" s="609"/>
      <c r="B25" s="609"/>
      <c r="C25" s="179">
        <f>INDEX(H25:H112,MATCH(C26,G25:G112,0),1)</f>
        <v>4.0000000000000001E-3</v>
      </c>
      <c r="D25" s="179">
        <v>0</v>
      </c>
      <c r="E25" s="180">
        <v>0.1</v>
      </c>
      <c r="G25" s="97" t="s">
        <v>225</v>
      </c>
      <c r="H25" s="179">
        <v>7.0000000000000001E-3</v>
      </c>
      <c r="J25" s="87" t="s">
        <v>504</v>
      </c>
      <c r="K25" s="87">
        <v>1</v>
      </c>
    </row>
    <row r="26" spans="1:11" ht="12.75" customHeight="1" x14ac:dyDescent="0.2">
      <c r="A26" s="609"/>
      <c r="B26" s="609"/>
      <c r="C26" s="204" t="str">
        <f>nkid</f>
        <v>14</v>
      </c>
      <c r="G26" s="97" t="s">
        <v>226</v>
      </c>
      <c r="H26" s="179">
        <v>8.9999999999999993E-3</v>
      </c>
      <c r="J26" s="87" t="s">
        <v>505</v>
      </c>
      <c r="K26" s="87">
        <v>1</v>
      </c>
    </row>
    <row r="27" spans="1:11" ht="12.75" customHeight="1" x14ac:dyDescent="0.2">
      <c r="A27" s="609"/>
      <c r="B27" s="609"/>
      <c r="C27" s="179"/>
      <c r="G27" s="97" t="s">
        <v>227</v>
      </c>
      <c r="H27" s="179">
        <v>4.0000000000000001E-3</v>
      </c>
      <c r="J27" s="87" t="s">
        <v>506</v>
      </c>
      <c r="K27" s="87">
        <v>1</v>
      </c>
    </row>
    <row r="28" spans="1:11" ht="12.75" customHeight="1" x14ac:dyDescent="0.2">
      <c r="A28" s="609"/>
      <c r="B28" s="609"/>
      <c r="C28" s="179"/>
      <c r="G28" s="97" t="s">
        <v>229</v>
      </c>
      <c r="H28" s="179">
        <v>1.0999999999999999E-2</v>
      </c>
      <c r="J28" s="87" t="s">
        <v>507</v>
      </c>
      <c r="K28" s="87">
        <v>1</v>
      </c>
    </row>
    <row r="29" spans="1:11" ht="12.75" customHeight="1" x14ac:dyDescent="0.2">
      <c r="A29" s="609"/>
      <c r="B29" s="609"/>
      <c r="C29" s="179"/>
      <c r="G29" s="97" t="s">
        <v>230</v>
      </c>
      <c r="H29" s="179">
        <v>7.0000000000000001E-3</v>
      </c>
    </row>
    <row r="30" spans="1:11" ht="12.75" customHeight="1" x14ac:dyDescent="0.2">
      <c r="G30" s="97" t="s">
        <v>231</v>
      </c>
      <c r="H30" s="179">
        <v>1.0999999999999999E-2</v>
      </c>
    </row>
    <row r="31" spans="1:11" ht="12.75" customHeight="1" x14ac:dyDescent="0.2">
      <c r="A31" s="20">
        <v>1</v>
      </c>
      <c r="B31" s="87" t="s">
        <v>68</v>
      </c>
      <c r="C31" s="178"/>
      <c r="G31" s="97" t="s">
        <v>232</v>
      </c>
      <c r="H31" s="179">
        <v>1.0999999999999999E-2</v>
      </c>
      <c r="J31" s="87" t="s">
        <v>508</v>
      </c>
      <c r="K31" s="87">
        <v>1</v>
      </c>
    </row>
    <row r="32" spans="1:11" ht="12.75" customHeight="1" x14ac:dyDescent="0.2">
      <c r="A32" s="20">
        <v>2</v>
      </c>
      <c r="B32" s="87" t="s">
        <v>499</v>
      </c>
      <c r="C32" s="178"/>
      <c r="G32" s="97" t="s">
        <v>233</v>
      </c>
      <c r="H32" s="179">
        <v>1.0999999999999999E-2</v>
      </c>
      <c r="J32" s="87" t="s">
        <v>509</v>
      </c>
      <c r="K32" s="87">
        <v>1</v>
      </c>
    </row>
    <row r="33" spans="1:11" ht="12.75" customHeight="1" x14ac:dyDescent="0.2">
      <c r="A33" s="20">
        <v>3</v>
      </c>
      <c r="B33" s="87" t="s">
        <v>500</v>
      </c>
      <c r="C33" s="178"/>
      <c r="G33" s="97" t="s">
        <v>234</v>
      </c>
      <c r="H33" s="179">
        <v>7.0000000000000001E-3</v>
      </c>
      <c r="J33" s="87" t="s">
        <v>515</v>
      </c>
      <c r="K33" s="87">
        <v>1</v>
      </c>
    </row>
    <row r="34" spans="1:11" ht="12.75" customHeight="1" x14ac:dyDescent="0.2">
      <c r="A34" s="20">
        <v>4</v>
      </c>
      <c r="B34" s="87" t="s">
        <v>501</v>
      </c>
      <c r="G34" s="97" t="s">
        <v>235</v>
      </c>
      <c r="H34" s="179">
        <v>7.0000000000000001E-3</v>
      </c>
      <c r="J34" s="87" t="s">
        <v>512</v>
      </c>
      <c r="K34" s="87">
        <v>1</v>
      </c>
    </row>
    <row r="35" spans="1:11" ht="12.75" customHeight="1" x14ac:dyDescent="0.2">
      <c r="A35" s="20">
        <v>5</v>
      </c>
      <c r="B35" s="182" t="s">
        <v>113</v>
      </c>
      <c r="C35" s="181"/>
      <c r="G35" s="97" t="s">
        <v>236</v>
      </c>
      <c r="H35" s="179">
        <v>7.0000000000000001E-3</v>
      </c>
    </row>
    <row r="36" spans="1:11" ht="12.75" customHeight="1" x14ac:dyDescent="0.2">
      <c r="A36" s="20">
        <v>6</v>
      </c>
      <c r="B36" s="87" t="s">
        <v>131</v>
      </c>
      <c r="G36" s="97" t="s">
        <v>237</v>
      </c>
      <c r="H36" s="179">
        <v>1.0999999999999999E-2</v>
      </c>
    </row>
    <row r="37" spans="1:11" ht="12.75" customHeight="1" x14ac:dyDescent="0.2">
      <c r="A37" s="20">
        <v>7</v>
      </c>
      <c r="B37" s="87" t="s">
        <v>132</v>
      </c>
      <c r="G37" s="97" t="s">
        <v>408</v>
      </c>
      <c r="H37" s="179">
        <v>4.0000000000000001E-3</v>
      </c>
    </row>
    <row r="38" spans="1:11" ht="12.75" customHeight="1" x14ac:dyDescent="0.2">
      <c r="A38" s="20">
        <v>8</v>
      </c>
      <c r="B38" s="87" t="s">
        <v>310</v>
      </c>
      <c r="G38" s="97" t="s">
        <v>409</v>
      </c>
      <c r="H38" s="179">
        <v>4.0000000000000001E-3</v>
      </c>
    </row>
    <row r="39" spans="1:11" ht="12.75" customHeight="1" x14ac:dyDescent="0.2">
      <c r="A39" s="20">
        <v>9</v>
      </c>
      <c r="B39" s="87" t="s">
        <v>438</v>
      </c>
      <c r="G39" s="97" t="s">
        <v>352</v>
      </c>
      <c r="H39" s="179">
        <v>1.0999999999999999E-2</v>
      </c>
    </row>
    <row r="40" spans="1:11" ht="12.75" customHeight="1" x14ac:dyDescent="0.2">
      <c r="G40" s="97" t="s">
        <v>360</v>
      </c>
      <c r="H40" s="179">
        <v>8.9999999999999993E-3</v>
      </c>
    </row>
    <row r="41" spans="1:11" ht="12.75" customHeight="1" x14ac:dyDescent="0.2">
      <c r="F41" s="201"/>
      <c r="G41" s="97" t="s">
        <v>385</v>
      </c>
      <c r="H41" s="179">
        <v>5.0000000000000001E-3</v>
      </c>
    </row>
    <row r="42" spans="1:11" ht="12.75" customHeight="1" x14ac:dyDescent="0.2">
      <c r="G42" s="97" t="s">
        <v>387</v>
      </c>
      <c r="H42" s="179">
        <v>5.0000000000000001E-3</v>
      </c>
    </row>
    <row r="43" spans="1:11" x14ac:dyDescent="0.2">
      <c r="G43" s="97" t="s">
        <v>370</v>
      </c>
      <c r="H43" s="179">
        <v>8.9999999999999993E-3</v>
      </c>
    </row>
    <row r="44" spans="1:11" x14ac:dyDescent="0.2">
      <c r="G44" s="97" t="s">
        <v>371</v>
      </c>
      <c r="H44" s="179">
        <v>7.0000000000000001E-3</v>
      </c>
    </row>
    <row r="45" spans="1:11" x14ac:dyDescent="0.2">
      <c r="G45" s="97" t="s">
        <v>353</v>
      </c>
      <c r="H45" s="179">
        <v>8.9999999999999993E-3</v>
      </c>
    </row>
    <row r="46" spans="1:11" x14ac:dyDescent="0.2">
      <c r="G46" s="97" t="s">
        <v>361</v>
      </c>
      <c r="H46" s="179">
        <v>8.9999999999999993E-3</v>
      </c>
    </row>
    <row r="47" spans="1:11" x14ac:dyDescent="0.2">
      <c r="G47" s="97" t="s">
        <v>354</v>
      </c>
      <c r="H47" s="179">
        <v>1.0999999999999999E-2</v>
      </c>
    </row>
    <row r="48" spans="1:11" x14ac:dyDescent="0.2">
      <c r="G48" s="97" t="s">
        <v>362</v>
      </c>
      <c r="H48" s="179">
        <v>8.9999999999999993E-3</v>
      </c>
    </row>
    <row r="49" spans="7:8" x14ac:dyDescent="0.2">
      <c r="G49" s="97" t="s">
        <v>388</v>
      </c>
      <c r="H49" s="179">
        <v>5.0000000000000001E-3</v>
      </c>
    </row>
    <row r="50" spans="7:8" x14ac:dyDescent="0.2">
      <c r="G50" s="97" t="s">
        <v>372</v>
      </c>
      <c r="H50" s="179">
        <v>7.0000000000000001E-3</v>
      </c>
    </row>
    <row r="51" spans="7:8" x14ac:dyDescent="0.2">
      <c r="G51" s="97" t="s">
        <v>363</v>
      </c>
      <c r="H51" s="179">
        <v>7.0000000000000001E-3</v>
      </c>
    </row>
    <row r="52" spans="7:8" x14ac:dyDescent="0.2">
      <c r="G52" s="97" t="s">
        <v>364</v>
      </c>
      <c r="H52" s="179">
        <v>4.0000000000000001E-3</v>
      </c>
    </row>
    <row r="53" spans="7:8" x14ac:dyDescent="0.2">
      <c r="G53" s="97" t="s">
        <v>355</v>
      </c>
      <c r="H53" s="179">
        <v>1.0999999999999999E-2</v>
      </c>
    </row>
    <row r="54" spans="7:8" x14ac:dyDescent="0.2">
      <c r="G54" s="97" t="s">
        <v>373</v>
      </c>
      <c r="H54" s="179">
        <v>8.9999999999999993E-3</v>
      </c>
    </row>
    <row r="55" spans="7:8" x14ac:dyDescent="0.2">
      <c r="G55" s="97" t="s">
        <v>374</v>
      </c>
      <c r="H55" s="179">
        <v>7.0000000000000001E-3</v>
      </c>
    </row>
    <row r="56" spans="7:8" x14ac:dyDescent="0.2">
      <c r="G56" s="97" t="s">
        <v>375</v>
      </c>
      <c r="H56" s="179">
        <v>1.0999999999999999E-2</v>
      </c>
    </row>
    <row r="57" spans="7:8" x14ac:dyDescent="0.2">
      <c r="G57" s="97" t="s">
        <v>365</v>
      </c>
      <c r="H57" s="179">
        <v>8.9999999999999993E-3</v>
      </c>
    </row>
    <row r="58" spans="7:8" x14ac:dyDescent="0.2">
      <c r="G58" s="97" t="s">
        <v>366</v>
      </c>
      <c r="H58" s="179">
        <v>7.0000000000000001E-3</v>
      </c>
    </row>
    <row r="59" spans="7:8" x14ac:dyDescent="0.2">
      <c r="G59" s="97" t="s">
        <v>381</v>
      </c>
      <c r="H59" s="179">
        <v>7.0000000000000001E-3</v>
      </c>
    </row>
    <row r="60" spans="7:8" x14ac:dyDescent="0.2">
      <c r="G60" s="97" t="s">
        <v>382</v>
      </c>
      <c r="H60" s="179">
        <v>1.0999999999999999E-2</v>
      </c>
    </row>
    <row r="61" spans="7:8" x14ac:dyDescent="0.2">
      <c r="G61" s="97" t="s">
        <v>383</v>
      </c>
      <c r="H61" s="179">
        <v>1.0999999999999999E-2</v>
      </c>
    </row>
    <row r="62" spans="7:8" x14ac:dyDescent="0.2">
      <c r="G62" s="97" t="s">
        <v>356</v>
      </c>
      <c r="H62" s="179">
        <v>1.0999999999999999E-2</v>
      </c>
    </row>
    <row r="63" spans="7:8" x14ac:dyDescent="0.2">
      <c r="G63" s="97" t="s">
        <v>357</v>
      </c>
      <c r="H63" s="179">
        <v>1.0999999999999999E-2</v>
      </c>
    </row>
    <row r="64" spans="7:8" x14ac:dyDescent="0.2">
      <c r="G64" s="97" t="s">
        <v>358</v>
      </c>
      <c r="H64" s="179">
        <v>8.9999999999999993E-3</v>
      </c>
    </row>
    <row r="65" spans="7:8" x14ac:dyDescent="0.2">
      <c r="G65" s="97" t="s">
        <v>389</v>
      </c>
      <c r="H65" s="179">
        <v>4.0000000000000001E-3</v>
      </c>
    </row>
    <row r="66" spans="7:8" x14ac:dyDescent="0.2">
      <c r="G66" s="97" t="s">
        <v>376</v>
      </c>
      <c r="H66" s="179">
        <v>5.0000000000000001E-3</v>
      </c>
    </row>
    <row r="67" spans="7:8" x14ac:dyDescent="0.2">
      <c r="G67" s="97" t="s">
        <v>410</v>
      </c>
      <c r="H67" s="179">
        <v>4.0000000000000001E-3</v>
      </c>
    </row>
    <row r="68" spans="7:8" x14ac:dyDescent="0.2">
      <c r="G68" s="97" t="s">
        <v>367</v>
      </c>
      <c r="H68" s="179">
        <v>8.9999999999999993E-3</v>
      </c>
    </row>
    <row r="69" spans="7:8" x14ac:dyDescent="0.2">
      <c r="G69" s="97" t="s">
        <v>359</v>
      </c>
      <c r="H69" s="179">
        <v>1.0999999999999999E-2</v>
      </c>
    </row>
    <row r="70" spans="7:8" x14ac:dyDescent="0.2">
      <c r="G70" s="97" t="s">
        <v>390</v>
      </c>
      <c r="H70" s="179">
        <v>4.0000000000000001E-3</v>
      </c>
    </row>
    <row r="71" spans="7:8" x14ac:dyDescent="0.2">
      <c r="G71" s="97" t="s">
        <v>368</v>
      </c>
      <c r="H71" s="179">
        <v>7.0000000000000001E-3</v>
      </c>
    </row>
    <row r="72" spans="7:8" x14ac:dyDescent="0.2">
      <c r="G72" s="97" t="s">
        <v>377</v>
      </c>
      <c r="H72" s="179">
        <v>7.0000000000000001E-3</v>
      </c>
    </row>
    <row r="73" spans="7:8" x14ac:dyDescent="0.2">
      <c r="G73" s="97" t="s">
        <v>413</v>
      </c>
      <c r="H73" s="179">
        <v>4.0000000000000001E-3</v>
      </c>
    </row>
    <row r="74" spans="7:8" x14ac:dyDescent="0.2">
      <c r="G74" s="97" t="s">
        <v>411</v>
      </c>
      <c r="H74" s="179">
        <v>4.0000000000000001E-3</v>
      </c>
    </row>
    <row r="75" spans="7:8" x14ac:dyDescent="0.2">
      <c r="G75" s="97" t="s">
        <v>386</v>
      </c>
      <c r="H75" s="179">
        <v>4.0000000000000001E-3</v>
      </c>
    </row>
    <row r="76" spans="7:8" x14ac:dyDescent="0.2">
      <c r="G76" s="97" t="s">
        <v>403</v>
      </c>
      <c r="H76" s="179">
        <v>4.0000000000000001E-3</v>
      </c>
    </row>
    <row r="77" spans="7:8" x14ac:dyDescent="0.2">
      <c r="G77" s="97" t="s">
        <v>404</v>
      </c>
      <c r="H77" s="179">
        <v>4.0000000000000001E-3</v>
      </c>
    </row>
    <row r="78" spans="7:8" x14ac:dyDescent="0.2">
      <c r="G78" s="97" t="s">
        <v>378</v>
      </c>
      <c r="H78" s="179">
        <v>7.0000000000000001E-3</v>
      </c>
    </row>
    <row r="79" spans="7:8" x14ac:dyDescent="0.2">
      <c r="G79" s="97" t="s">
        <v>416</v>
      </c>
      <c r="H79" s="179">
        <v>4.0000000000000001E-3</v>
      </c>
    </row>
    <row r="80" spans="7:8" x14ac:dyDescent="0.2">
      <c r="G80" s="97" t="s">
        <v>417</v>
      </c>
      <c r="H80" s="179">
        <v>4.0000000000000001E-3</v>
      </c>
    </row>
    <row r="81" spans="7:8" x14ac:dyDescent="0.2">
      <c r="G81" s="97" t="s">
        <v>391</v>
      </c>
      <c r="H81" s="179">
        <v>4.0000000000000001E-3</v>
      </c>
    </row>
    <row r="82" spans="7:8" x14ac:dyDescent="0.2">
      <c r="G82" s="97" t="s">
        <v>414</v>
      </c>
      <c r="H82" s="179">
        <v>4.0000000000000001E-3</v>
      </c>
    </row>
    <row r="83" spans="7:8" x14ac:dyDescent="0.2">
      <c r="G83" s="97" t="s">
        <v>392</v>
      </c>
      <c r="H83" s="179">
        <v>4.0000000000000001E-3</v>
      </c>
    </row>
    <row r="84" spans="7:8" x14ac:dyDescent="0.2">
      <c r="G84" s="97" t="s">
        <v>379</v>
      </c>
      <c r="H84" s="179">
        <v>7.0000000000000001E-3</v>
      </c>
    </row>
    <row r="85" spans="7:8" x14ac:dyDescent="0.2">
      <c r="G85" s="97" t="s">
        <v>394</v>
      </c>
      <c r="H85" s="179">
        <v>4.0000000000000001E-3</v>
      </c>
    </row>
    <row r="86" spans="7:8" x14ac:dyDescent="0.2">
      <c r="G86" s="97" t="s">
        <v>395</v>
      </c>
      <c r="H86" s="179">
        <v>4.0000000000000001E-3</v>
      </c>
    </row>
    <row r="87" spans="7:8" x14ac:dyDescent="0.2">
      <c r="G87" s="97" t="s">
        <v>396</v>
      </c>
      <c r="H87" s="179">
        <v>5.0000000000000001E-3</v>
      </c>
    </row>
    <row r="88" spans="7:8" x14ac:dyDescent="0.2">
      <c r="G88" s="97" t="s">
        <v>393</v>
      </c>
      <c r="H88" s="179">
        <v>5.0000000000000001E-3</v>
      </c>
    </row>
    <row r="89" spans="7:8" x14ac:dyDescent="0.2">
      <c r="G89" s="97" t="s">
        <v>397</v>
      </c>
      <c r="H89" s="179">
        <v>4.0000000000000001E-3</v>
      </c>
    </row>
    <row r="90" spans="7:8" x14ac:dyDescent="0.2">
      <c r="G90" s="97" t="s">
        <v>398</v>
      </c>
      <c r="H90" s="179">
        <v>7.0000000000000001E-3</v>
      </c>
    </row>
    <row r="91" spans="7:8" x14ac:dyDescent="0.2">
      <c r="G91" s="97" t="s">
        <v>419</v>
      </c>
      <c r="H91" s="179">
        <v>4.0000000000000001E-3</v>
      </c>
    </row>
    <row r="92" spans="7:8" x14ac:dyDescent="0.2">
      <c r="G92" s="97" t="s">
        <v>415</v>
      </c>
      <c r="H92" s="179">
        <v>5.0000000000000001E-3</v>
      </c>
    </row>
    <row r="93" spans="7:8" x14ac:dyDescent="0.2">
      <c r="G93" s="97" t="s">
        <v>399</v>
      </c>
      <c r="H93" s="179">
        <v>5.0000000000000001E-3</v>
      </c>
    </row>
    <row r="94" spans="7:8" x14ac:dyDescent="0.2">
      <c r="G94" s="97" t="s">
        <v>369</v>
      </c>
      <c r="H94" s="179">
        <v>7.0000000000000001E-3</v>
      </c>
    </row>
    <row r="95" spans="7:8" x14ac:dyDescent="0.2">
      <c r="G95" s="97" t="s">
        <v>400</v>
      </c>
      <c r="H95" s="179">
        <v>5.0000000000000001E-3</v>
      </c>
    </row>
    <row r="96" spans="7:8" x14ac:dyDescent="0.2">
      <c r="G96" s="97" t="s">
        <v>401</v>
      </c>
      <c r="H96" s="179">
        <v>7.0000000000000001E-3</v>
      </c>
    </row>
    <row r="97" spans="7:8" x14ac:dyDescent="0.2">
      <c r="G97" s="97" t="s">
        <v>402</v>
      </c>
      <c r="H97" s="179">
        <v>5.0000000000000001E-3</v>
      </c>
    </row>
    <row r="98" spans="7:8" x14ac:dyDescent="0.2">
      <c r="G98" s="97" t="s">
        <v>380</v>
      </c>
      <c r="H98" s="179">
        <v>7.0000000000000001E-3</v>
      </c>
    </row>
    <row r="99" spans="7:8" x14ac:dyDescent="0.2">
      <c r="G99" s="97" t="s">
        <v>418</v>
      </c>
      <c r="H99" s="179">
        <v>4.0000000000000001E-3</v>
      </c>
    </row>
    <row r="100" spans="7:8" x14ac:dyDescent="0.2">
      <c r="G100" s="97" t="s">
        <v>420</v>
      </c>
      <c r="H100" s="179">
        <v>5.0000000000000001E-3</v>
      </c>
    </row>
    <row r="101" spans="7:8" x14ac:dyDescent="0.2">
      <c r="G101" s="97" t="s">
        <v>421</v>
      </c>
      <c r="H101" s="179">
        <v>5.0000000000000001E-3</v>
      </c>
    </row>
    <row r="102" spans="7:8" x14ac:dyDescent="0.2">
      <c r="G102" s="97" t="s">
        <v>422</v>
      </c>
      <c r="H102" s="179">
        <v>5.0000000000000001E-3</v>
      </c>
    </row>
    <row r="103" spans="7:8" x14ac:dyDescent="0.2">
      <c r="G103" s="97" t="s">
        <v>405</v>
      </c>
      <c r="H103" s="179">
        <v>7.0000000000000001E-3</v>
      </c>
    </row>
    <row r="104" spans="7:8" x14ac:dyDescent="0.2">
      <c r="G104" s="97" t="s">
        <v>406</v>
      </c>
      <c r="H104" s="179">
        <v>5.0000000000000001E-3</v>
      </c>
    </row>
    <row r="105" spans="7:8" x14ac:dyDescent="0.2">
      <c r="G105" s="97" t="s">
        <v>407</v>
      </c>
      <c r="H105" s="179">
        <v>5.0000000000000001E-3</v>
      </c>
    </row>
    <row r="106" spans="7:8" x14ac:dyDescent="0.2">
      <c r="G106" s="97" t="s">
        <v>346</v>
      </c>
      <c r="H106" s="179">
        <v>7.0000000000000001E-3</v>
      </c>
    </row>
    <row r="107" spans="7:8" x14ac:dyDescent="0.2">
      <c r="G107" s="97" t="s">
        <v>423</v>
      </c>
      <c r="H107" s="179">
        <v>4.0000000000000001E-3</v>
      </c>
    </row>
    <row r="108" spans="7:8" x14ac:dyDescent="0.2">
      <c r="G108" s="97" t="s">
        <v>412</v>
      </c>
      <c r="H108" s="179">
        <v>4.0000000000000001E-3</v>
      </c>
    </row>
    <row r="109" spans="7:8" x14ac:dyDescent="0.2">
      <c r="G109" s="97" t="s">
        <v>384</v>
      </c>
      <c r="H109" s="179">
        <v>4.0000000000000001E-3</v>
      </c>
    </row>
    <row r="110" spans="7:8" x14ac:dyDescent="0.2">
      <c r="G110" s="97" t="s">
        <v>424</v>
      </c>
      <c r="H110" s="179">
        <v>4.0000000000000001E-3</v>
      </c>
    </row>
    <row r="111" spans="7:8" x14ac:dyDescent="0.2">
      <c r="G111" s="97" t="s">
        <v>425</v>
      </c>
      <c r="H111" s="179">
        <v>4.0000000000000001E-3</v>
      </c>
    </row>
    <row r="112" spans="7:8" x14ac:dyDescent="0.2">
      <c r="G112" s="97" t="s">
        <v>426</v>
      </c>
      <c r="H112" s="179">
        <v>5.0000000000000001E-3</v>
      </c>
    </row>
    <row r="113" spans="8:8" x14ac:dyDescent="0.2">
      <c r="H113" s="179"/>
    </row>
  </sheetData>
  <mergeCells count="33">
    <mergeCell ref="O3:O5"/>
    <mergeCell ref="B6:C6"/>
    <mergeCell ref="J3:J5"/>
    <mergeCell ref="K3:K5"/>
    <mergeCell ref="L3:L5"/>
    <mergeCell ref="M3:M5"/>
    <mergeCell ref="N3:N5"/>
    <mergeCell ref="A24:B29"/>
    <mergeCell ref="F14:K15"/>
    <mergeCell ref="B15:C15"/>
    <mergeCell ref="B9:C9"/>
    <mergeCell ref="B11:C11"/>
    <mergeCell ref="B16:C16"/>
    <mergeCell ref="B14:C14"/>
    <mergeCell ref="B13:C13"/>
    <mergeCell ref="B12:C12"/>
    <mergeCell ref="B10:C10"/>
    <mergeCell ref="B7:C7"/>
    <mergeCell ref="B8:C8"/>
    <mergeCell ref="N1:O1"/>
    <mergeCell ref="L1:M1"/>
    <mergeCell ref="B3:C5"/>
    <mergeCell ref="B1:C1"/>
    <mergeCell ref="J1:K1"/>
    <mergeCell ref="F1:G1"/>
    <mergeCell ref="D1:E1"/>
    <mergeCell ref="H1:I1"/>
    <mergeCell ref="D3:D5"/>
    <mergeCell ref="E3:E5"/>
    <mergeCell ref="F3:F5"/>
    <mergeCell ref="G3:G5"/>
    <mergeCell ref="H3:H5"/>
    <mergeCell ref="I3:I5"/>
  </mergeCells>
  <phoneticPr fontId="7" type="noConversion"/>
  <conditionalFormatting sqref="D13">
    <cfRule type="cellIs" dxfId="0" priority="1" stopIfTrue="1" operator="lessThan">
      <formula>$D$14</formula>
    </cfRule>
  </conditionalFormatting>
  <pageMargins left="0.75" right="0.75" top="1" bottom="1" header="0.5" footer="0.5"/>
  <pageSetup paperSize="9" orientation="portrait" horizontalDpi="240" verticalDpi="144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"/>
  <sheetViews>
    <sheetView workbookViewId="0"/>
  </sheetViews>
  <sheetFormatPr defaultRowHeight="12.75" x14ac:dyDescent="0.2"/>
  <cols>
    <col min="1" max="1" width="30.42578125" bestFit="1" customWidth="1"/>
  </cols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12</vt:i4>
      </vt:variant>
      <vt:variant>
        <vt:lpstr>Named Ranges</vt:lpstr>
      </vt:variant>
      <vt:variant>
        <vt:i4>89</vt:i4>
      </vt:variant>
    </vt:vector>
  </HeadingPairs>
  <TitlesOfParts>
    <vt:vector size="101" baseType="lpstr">
      <vt:lpstr>РПВ</vt:lpstr>
      <vt:lpstr>За печат</vt:lpstr>
      <vt:lpstr>Фиш</vt:lpstr>
      <vt:lpstr>Рекапитулация</vt:lpstr>
      <vt:lpstr>Справка</vt:lpstr>
      <vt:lpstr>Д6</vt:lpstr>
      <vt:lpstr>Инфо</vt:lpstr>
      <vt:lpstr>Декл6</vt:lpstr>
      <vt:lpstr>Протокол</vt:lpstr>
      <vt:lpstr>Отпуск</vt:lpstr>
      <vt:lpstr>Систем</vt:lpstr>
      <vt:lpstr>Платежни</vt:lpstr>
      <vt:lpstr>_kol11</vt:lpstr>
      <vt:lpstr>_kol22</vt:lpstr>
      <vt:lpstr>_kol33</vt:lpstr>
      <vt:lpstr>_kol44</vt:lpstr>
      <vt:lpstr>allcopy</vt:lpstr>
      <vt:lpstr>avpla</vt:lpstr>
      <vt:lpstr>banka</vt:lpstr>
      <vt:lpstr>bankaadres</vt:lpstr>
      <vt:lpstr>bankaklon</vt:lpstr>
      <vt:lpstr>bankanap</vt:lpstr>
      <vt:lpstr>bankiall</vt:lpstr>
      <vt:lpstr>bansme</vt:lpstr>
      <vt:lpstr>bicbanka</vt:lpstr>
      <vt:lpstr>bicbankanap</vt:lpstr>
      <vt:lpstr>bulstata</vt:lpstr>
      <vt:lpstr>d6ssini</vt:lpstr>
      <vt:lpstr>d6tsini</vt:lpstr>
      <vt:lpstr>danni_fishove</vt:lpstr>
      <vt:lpstr>danyk1d6</vt:lpstr>
      <vt:lpstr>danykd6</vt:lpstr>
      <vt:lpstr>dlajnost</vt:lpstr>
      <vt:lpstr>dod</vt:lpstr>
      <vt:lpstr>dodminus</vt:lpstr>
      <vt:lpstr>dodplus</vt:lpstr>
      <vt:lpstr>dood6</vt:lpstr>
      <vt:lpstr>drneobl</vt:lpstr>
      <vt:lpstr>dzpoppfd6</vt:lpstr>
      <vt:lpstr>dzpoupfd6</vt:lpstr>
      <vt:lpstr>egn_check</vt:lpstr>
      <vt:lpstr>egns</vt:lpstr>
      <vt:lpstr>Систем!ExternalData_1</vt:lpstr>
      <vt:lpstr>Систем!ExternalData_2</vt:lpstr>
      <vt:lpstr>firma</vt:lpstr>
      <vt:lpstr>godini</vt:lpstr>
      <vt:lpstr>gvrsd6</vt:lpstr>
      <vt:lpstr>ibanfirma</vt:lpstr>
      <vt:lpstr>kodkor</vt:lpstr>
      <vt:lpstr>kodok</vt:lpstr>
      <vt:lpstr>krai</vt:lpstr>
      <vt:lpstr>maxod</vt:lpstr>
      <vt:lpstr>menu_ap</vt:lpstr>
      <vt:lpstr>menu_dnp</vt:lpstr>
      <vt:lpstr>menu_osnnam</vt:lpstr>
      <vt:lpstr>menu_osnuve</vt:lpstr>
      <vt:lpstr>menu_poslkol</vt:lpstr>
      <vt:lpstr>menu_rgo</vt:lpstr>
      <vt:lpstr>menu_sr</vt:lpstr>
      <vt:lpstr>meseci</vt:lpstr>
      <vt:lpstr>meseci0112</vt:lpstr>
      <vt:lpstr>mesecid6</vt:lpstr>
      <vt:lpstr>mod</vt:lpstr>
      <vt:lpstr>multiprint</vt:lpstr>
      <vt:lpstr>names</vt:lpstr>
      <vt:lpstr>nkid</vt:lpstr>
      <vt:lpstr>nov</vt:lpstr>
      <vt:lpstr>nova</vt:lpstr>
      <vt:lpstr>nova1</vt:lpstr>
      <vt:lpstr>ofisnap</vt:lpstr>
      <vt:lpstr>orz</vt:lpstr>
      <vt:lpstr>pari</vt:lpstr>
      <vt:lpstr>prevod</vt:lpstr>
      <vt:lpstr>print</vt:lpstr>
      <vt:lpstr>Декл6!Print_Area</vt:lpstr>
      <vt:lpstr>Рекапитулация!Print_Area</vt:lpstr>
      <vt:lpstr>РПВ!Print_Area</vt:lpstr>
      <vt:lpstr>Фиш!Print_Area</vt:lpstr>
      <vt:lpstr>РПВ!Print_Titles</vt:lpstr>
      <vt:lpstr>protokoldanni</vt:lpstr>
      <vt:lpstr>rabdni</vt:lpstr>
      <vt:lpstr>redgodotp</vt:lpstr>
      <vt:lpstr>rows</vt:lpstr>
      <vt:lpstr>smetkadoo</vt:lpstr>
      <vt:lpstr>smetkadzpo</vt:lpstr>
      <vt:lpstr>smetkard</vt:lpstr>
      <vt:lpstr>smetkazdr</vt:lpstr>
      <vt:lpstr>socraz</vt:lpstr>
      <vt:lpstr>staj</vt:lpstr>
      <vt:lpstr>sumivedomost</vt:lpstr>
      <vt:lpstr>teku6tmesec</vt:lpstr>
      <vt:lpstr>text</vt:lpstr>
      <vt:lpstr>treti</vt:lpstr>
      <vt:lpstr>u4pfd6</vt:lpstr>
      <vt:lpstr>valior</vt:lpstr>
      <vt:lpstr>ver</vt:lpstr>
      <vt:lpstr>vers</vt:lpstr>
      <vt:lpstr>vidosig</vt:lpstr>
      <vt:lpstr>vidpld6</vt:lpstr>
      <vt:lpstr>years</vt:lpstr>
      <vt:lpstr>zod6</vt:lpstr>
    </vt:vector>
  </TitlesOfParts>
  <Company>TROX Inc.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Ведомост за заплати</dc:title>
  <dc:subject>TROX 2010v1</dc:subject>
  <dc:creator>TROX</dc:creator>
  <cp:lastModifiedBy>TROX</cp:lastModifiedBy>
  <cp:lastPrinted>2014-09-25T09:57:04Z</cp:lastPrinted>
  <dcterms:created xsi:type="dcterms:W3CDTF">2003-10-17T12:32:27Z</dcterms:created>
  <dcterms:modified xsi:type="dcterms:W3CDTF">2014-09-25T10:00:34Z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Owner">
    <vt:lpwstr>TROX</vt:lpwstr>
  </property>
  <property fmtid="{D5CDD505-2E9C-101B-9397-08002B2CF9AE}" pid="3" name="Disposition">
    <vt:lpwstr>Ведомост за заплати 2010</vt:lpwstr>
  </property>
  <property fmtid="{D5CDD505-2E9C-101B-9397-08002B2CF9AE}" pid="4" name="Publisher">
    <vt:lpwstr>http://trox-bg.com</vt:lpwstr>
  </property>
  <property fmtid="{D5CDD505-2E9C-101B-9397-08002B2CF9AE}" pid="5" name="Language">
    <vt:lpwstr>Български</vt:lpwstr>
  </property>
  <property fmtid="{D5CDD505-2E9C-101B-9397-08002B2CF9AE}" pid="6" name="Document Number">
    <vt:lpwstr>2010v1</vt:lpwstr>
  </property>
</Properties>
</file>